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filterPrivacy="1" defaultThemeVersion="124226"/>
  <xr:revisionPtr revIDLastSave="0" documentId="13_ncr:1_{20EADCEE-F713-4A91-AB6C-32BF46A379EF}" xr6:coauthVersionLast="47" xr6:coauthVersionMax="47" xr10:uidLastSave="{00000000-0000-0000-0000-000000000000}"/>
  <bookViews>
    <workbookView xWindow="43080" yWindow="2160" windowWidth="29040" windowHeight="17520" xr2:uid="{00000000-000D-0000-FFFF-FFFF00000000}"/>
  </bookViews>
  <sheets>
    <sheet name="Student View" sheetId="4" r:id="rId1"/>
    <sheet name="Student Profile" sheetId="3" r:id="rId2"/>
    <sheet name="Advisor View" sheetId="1" r:id="rId3"/>
    <sheet name="Legends" sheetId="2" r:id="rId4"/>
  </sheets>
  <definedNames>
    <definedName name="_xlnm.Print_Area" localSheetId="2">'Advisor View'!$A$2:$AD$137</definedName>
    <definedName name="_xlnm.Print_Area" localSheetId="0">'Student View'!$A$6:$U$61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L2" i="1" l="1"/>
  <c r="AI89" i="1"/>
  <c r="AJ89" i="1"/>
  <c r="AK89" i="1"/>
  <c r="AL89" i="1"/>
  <c r="AM89" i="1"/>
  <c r="AN89" i="1"/>
  <c r="AO89" i="1" s="1"/>
  <c r="AP89" i="1"/>
  <c r="AQ89" i="1"/>
  <c r="AR89" i="1"/>
  <c r="AS89" i="1"/>
  <c r="AV89" i="1" s="1"/>
  <c r="AT89" i="1"/>
  <c r="AI90" i="1"/>
  <c r="AJ90" i="1"/>
  <c r="AK90" i="1"/>
  <c r="AL90" i="1"/>
  <c r="AM90" i="1"/>
  <c r="AN90" i="1"/>
  <c r="AO90" i="1" s="1"/>
  <c r="AP90" i="1"/>
  <c r="AQ90" i="1"/>
  <c r="AU90" i="1" s="1"/>
  <c r="AR90" i="1"/>
  <c r="AS90" i="1"/>
  <c r="AT90" i="1"/>
  <c r="AV90" i="1"/>
  <c r="AI91" i="1"/>
  <c r="AN91" i="1" s="1"/>
  <c r="AO91" i="1" s="1"/>
  <c r="AJ91" i="1"/>
  <c r="AK91" i="1"/>
  <c r="AL91" i="1"/>
  <c r="AM91" i="1"/>
  <c r="AP91" i="1"/>
  <c r="AQ91" i="1"/>
  <c r="AR91" i="1"/>
  <c r="AS91" i="1"/>
  <c r="AT91" i="1"/>
  <c r="AU91" i="1"/>
  <c r="AV91" i="1"/>
  <c r="AI92" i="1"/>
  <c r="AN92" i="1" s="1"/>
  <c r="AO92" i="1" s="1"/>
  <c r="AJ92" i="1"/>
  <c r="AK92" i="1"/>
  <c r="AL92" i="1"/>
  <c r="AM92" i="1"/>
  <c r="AP92" i="1"/>
  <c r="AQ92" i="1"/>
  <c r="AR92" i="1"/>
  <c r="AS92" i="1"/>
  <c r="AT92" i="1"/>
  <c r="AU92" i="1"/>
  <c r="AV92" i="1"/>
  <c r="AI93" i="1"/>
  <c r="AN93" i="1" s="1"/>
  <c r="AO93" i="1" s="1"/>
  <c r="AJ93" i="1"/>
  <c r="AK93" i="1"/>
  <c r="AL93" i="1"/>
  <c r="AM93" i="1"/>
  <c r="AP93" i="1"/>
  <c r="AQ93" i="1"/>
  <c r="AR93" i="1"/>
  <c r="AS93" i="1"/>
  <c r="AV93" i="1" s="1"/>
  <c r="AT93" i="1"/>
  <c r="AU93" i="1"/>
  <c r="AI94" i="1"/>
  <c r="AJ94" i="1"/>
  <c r="AK94" i="1"/>
  <c r="AL94" i="1"/>
  <c r="AM94" i="1"/>
  <c r="AN94" i="1"/>
  <c r="AO94" i="1"/>
  <c r="AP94" i="1"/>
  <c r="AU94" i="1" s="1"/>
  <c r="AQ94" i="1"/>
  <c r="AR94" i="1"/>
  <c r="AS94" i="1"/>
  <c r="AV94" i="1" s="1"/>
  <c r="AT94" i="1"/>
  <c r="AI95" i="1"/>
  <c r="AJ95" i="1"/>
  <c r="AK95" i="1"/>
  <c r="AL95" i="1"/>
  <c r="AM95" i="1"/>
  <c r="AN95" i="1"/>
  <c r="AO95" i="1"/>
  <c r="AP95" i="1"/>
  <c r="AU95" i="1" s="1"/>
  <c r="AQ95" i="1"/>
  <c r="AR95" i="1"/>
  <c r="AS95" i="1"/>
  <c r="AV95" i="1" s="1"/>
  <c r="AT95" i="1"/>
  <c r="AI96" i="1"/>
  <c r="AJ96" i="1"/>
  <c r="AK96" i="1"/>
  <c r="AL96" i="1"/>
  <c r="AM96" i="1"/>
  <c r="AN96" i="1"/>
  <c r="AO96" i="1"/>
  <c r="AP96" i="1"/>
  <c r="AQ96" i="1"/>
  <c r="AU96" i="1" s="1"/>
  <c r="AR96" i="1"/>
  <c r="AS96" i="1"/>
  <c r="AT96" i="1"/>
  <c r="AV96" i="1"/>
  <c r="AI99" i="1"/>
  <c r="AN99" i="1" s="1"/>
  <c r="AO99" i="1" s="1"/>
  <c r="AJ99" i="1"/>
  <c r="AK99" i="1"/>
  <c r="AL99" i="1"/>
  <c r="AM99" i="1"/>
  <c r="AP99" i="1"/>
  <c r="AQ99" i="1"/>
  <c r="AR99" i="1"/>
  <c r="AS99" i="1"/>
  <c r="AV99" i="1" s="1"/>
  <c r="AT99" i="1"/>
  <c r="AU99" i="1"/>
  <c r="AI100" i="1"/>
  <c r="AJ100" i="1"/>
  <c r="AK100" i="1"/>
  <c r="AL100" i="1"/>
  <c r="AM100" i="1"/>
  <c r="AN100" i="1"/>
  <c r="AO100" i="1"/>
  <c r="AP100" i="1"/>
  <c r="AU100" i="1" s="1"/>
  <c r="AQ100" i="1"/>
  <c r="AR100" i="1"/>
  <c r="AS100" i="1"/>
  <c r="AV100" i="1" s="1"/>
  <c r="AT100" i="1"/>
  <c r="AI101" i="1"/>
  <c r="AJ101" i="1"/>
  <c r="AK101" i="1"/>
  <c r="AL101" i="1"/>
  <c r="AM101" i="1"/>
  <c r="AN101" i="1"/>
  <c r="AO101" i="1"/>
  <c r="AP101" i="1"/>
  <c r="AU101" i="1" s="1"/>
  <c r="AQ101" i="1"/>
  <c r="AR101" i="1"/>
  <c r="AS101" i="1"/>
  <c r="AV101" i="1" s="1"/>
  <c r="AT101" i="1"/>
  <c r="AI104" i="1"/>
  <c r="AJ104" i="1"/>
  <c r="AK104" i="1"/>
  <c r="AL104" i="1"/>
  <c r="AM104" i="1"/>
  <c r="AP104" i="1"/>
  <c r="AQ104" i="1"/>
  <c r="AR104" i="1"/>
  <c r="AS104" i="1"/>
  <c r="AT104" i="1"/>
  <c r="AV104" i="1" s="1"/>
  <c r="AI105" i="1"/>
  <c r="AN105" i="1" s="1"/>
  <c r="AO105" i="1" s="1"/>
  <c r="AJ105" i="1"/>
  <c r="AK105" i="1"/>
  <c r="AL105" i="1"/>
  <c r="AM105" i="1"/>
  <c r="AP105" i="1"/>
  <c r="AQ105" i="1"/>
  <c r="AR105" i="1"/>
  <c r="AS105" i="1"/>
  <c r="AT105" i="1"/>
  <c r="AU105" i="1"/>
  <c r="AI106" i="1"/>
  <c r="AJ106" i="1"/>
  <c r="AK106" i="1"/>
  <c r="AL106" i="1"/>
  <c r="AM106" i="1"/>
  <c r="AP106" i="1"/>
  <c r="AQ106" i="1"/>
  <c r="AR106" i="1"/>
  <c r="AS106" i="1"/>
  <c r="AT106" i="1"/>
  <c r="AI107" i="1"/>
  <c r="AJ107" i="1"/>
  <c r="AK107" i="1"/>
  <c r="AL107" i="1"/>
  <c r="AM107" i="1"/>
  <c r="AP107" i="1"/>
  <c r="AQ107" i="1"/>
  <c r="AR107" i="1"/>
  <c r="AS107" i="1"/>
  <c r="AT107" i="1"/>
  <c r="AI108" i="1"/>
  <c r="AJ108" i="1"/>
  <c r="AK108" i="1"/>
  <c r="AL108" i="1"/>
  <c r="AM108" i="1"/>
  <c r="AN108" i="1"/>
  <c r="AO108" i="1"/>
  <c r="AP108" i="1"/>
  <c r="AQ108" i="1"/>
  <c r="AU108" i="1" s="1"/>
  <c r="AR108" i="1"/>
  <c r="AS108" i="1"/>
  <c r="AT108" i="1"/>
  <c r="AV108" i="1"/>
  <c r="AI109" i="1"/>
  <c r="AJ109" i="1"/>
  <c r="AK109" i="1"/>
  <c r="AL109" i="1"/>
  <c r="AM109" i="1"/>
  <c r="AP109" i="1"/>
  <c r="AU109" i="1" s="1"/>
  <c r="AQ109" i="1"/>
  <c r="AR109" i="1"/>
  <c r="AS109" i="1"/>
  <c r="AV109" i="1" s="1"/>
  <c r="AT109" i="1"/>
  <c r="AI110" i="1"/>
  <c r="AJ110" i="1"/>
  <c r="AK110" i="1"/>
  <c r="AL110" i="1"/>
  <c r="AM110" i="1"/>
  <c r="AP110" i="1"/>
  <c r="AU110" i="1" s="1"/>
  <c r="AQ110" i="1"/>
  <c r="AR110" i="1"/>
  <c r="AS110" i="1"/>
  <c r="AV110" i="1" s="1"/>
  <c r="AT110" i="1"/>
  <c r="AI111" i="1"/>
  <c r="AJ111" i="1"/>
  <c r="AK111" i="1"/>
  <c r="AL111" i="1"/>
  <c r="AM111" i="1"/>
  <c r="AP111" i="1"/>
  <c r="AU111" i="1" s="1"/>
  <c r="AQ111" i="1"/>
  <c r="AR111" i="1"/>
  <c r="AS111" i="1"/>
  <c r="AV111" i="1" s="1"/>
  <c r="AT111" i="1"/>
  <c r="AI112" i="1"/>
  <c r="AJ112" i="1"/>
  <c r="AK112" i="1"/>
  <c r="AL112" i="1"/>
  <c r="AM112" i="1"/>
  <c r="AP112" i="1"/>
  <c r="AQ112" i="1"/>
  <c r="AR112" i="1"/>
  <c r="AS112" i="1"/>
  <c r="AV112" i="1" s="1"/>
  <c r="AT112" i="1"/>
  <c r="AI113" i="1"/>
  <c r="AJ113" i="1"/>
  <c r="AK113" i="1"/>
  <c r="AL113" i="1"/>
  <c r="AN113" i="1" s="1"/>
  <c r="AO113" i="1" s="1"/>
  <c r="AM113" i="1"/>
  <c r="AP113" i="1"/>
  <c r="AQ113" i="1"/>
  <c r="AR113" i="1"/>
  <c r="AS113" i="1"/>
  <c r="AV113" i="1" s="1"/>
  <c r="AT113" i="1"/>
  <c r="AC95" i="1"/>
  <c r="M10" i="2"/>
  <c r="L10" i="2"/>
  <c r="K10" i="2"/>
  <c r="C2" i="1"/>
  <c r="AN110" i="1" l="1"/>
  <c r="AO110" i="1" s="1"/>
  <c r="AN112" i="1"/>
  <c r="AO112" i="1" s="1"/>
  <c r="AN111" i="1"/>
  <c r="AO111" i="1" s="1"/>
  <c r="AU113" i="1"/>
  <c r="AN109" i="1"/>
  <c r="AO109" i="1" s="1"/>
  <c r="AV105" i="1"/>
  <c r="AU112" i="1"/>
  <c r="AU89" i="1"/>
  <c r="AU104" i="1"/>
  <c r="AN104" i="1"/>
  <c r="AO104" i="1" s="1"/>
  <c r="AN107" i="1"/>
  <c r="AO107" i="1" s="1"/>
  <c r="AU106" i="1"/>
  <c r="AU107" i="1"/>
  <c r="AV107" i="1"/>
  <c r="AN106" i="1"/>
  <c r="AO106" i="1" s="1"/>
  <c r="AV106" i="1"/>
  <c r="AC99" i="1"/>
  <c r="AC89" i="1"/>
  <c r="C7" i="3"/>
  <c r="S30" i="4"/>
  <c r="S31" i="4"/>
  <c r="S16" i="4"/>
  <c r="S17" i="4"/>
  <c r="S41" i="4"/>
  <c r="S42" i="4"/>
  <c r="S43" i="4"/>
  <c r="S44" i="4"/>
  <c r="S45" i="4"/>
  <c r="S46" i="4"/>
  <c r="S47" i="4"/>
  <c r="S48" i="4"/>
  <c r="S49" i="4"/>
  <c r="S50" i="4"/>
  <c r="S51" i="4"/>
  <c r="S52" i="4"/>
  <c r="S53" i="4"/>
  <c r="S54" i="4"/>
  <c r="S55" i="4"/>
  <c r="S56" i="4"/>
  <c r="S57" i="4"/>
  <c r="S58" i="4"/>
  <c r="S59" i="4"/>
  <c r="S60" i="4"/>
  <c r="S61" i="4"/>
  <c r="S62" i="4"/>
  <c r="S63" i="4"/>
  <c r="S64" i="4"/>
  <c r="S65" i="4"/>
  <c r="S66" i="4"/>
  <c r="S67" i="4"/>
  <c r="S68" i="4"/>
  <c r="S69" i="4"/>
  <c r="S70" i="4"/>
  <c r="S71" i="4"/>
  <c r="S72" i="4"/>
  <c r="S73" i="4"/>
  <c r="R41" i="4"/>
  <c r="R42" i="4"/>
  <c r="R43" i="4"/>
  <c r="R44" i="4"/>
  <c r="R45" i="4"/>
  <c r="R46" i="4"/>
  <c r="R47" i="4"/>
  <c r="R48" i="4"/>
  <c r="R49" i="4"/>
  <c r="R50" i="4"/>
  <c r="R51" i="4"/>
  <c r="R52" i="4"/>
  <c r="R53" i="4"/>
  <c r="R54" i="4"/>
  <c r="R55" i="4"/>
  <c r="R56" i="4"/>
  <c r="R57" i="4"/>
  <c r="R58" i="4"/>
  <c r="R59" i="4"/>
  <c r="R60" i="4"/>
  <c r="R61" i="4"/>
  <c r="R62" i="4"/>
  <c r="R63" i="4"/>
  <c r="R64" i="4"/>
  <c r="R65" i="4"/>
  <c r="R66" i="4"/>
  <c r="R67" i="4"/>
  <c r="R68" i="4"/>
  <c r="R69" i="4"/>
  <c r="R70" i="4"/>
  <c r="R71" i="4"/>
  <c r="R72" i="4"/>
  <c r="R73" i="4"/>
  <c r="P41" i="4"/>
  <c r="Q41" i="4" s="1"/>
  <c r="P42" i="4"/>
  <c r="Q42" i="4" s="1"/>
  <c r="P43" i="4"/>
  <c r="Q43" i="4" s="1"/>
  <c r="P44" i="4"/>
  <c r="Q44" i="4" s="1"/>
  <c r="P45" i="4"/>
  <c r="Q45" i="4" s="1"/>
  <c r="P46" i="4"/>
  <c r="Q46" i="4" s="1"/>
  <c r="P47" i="4"/>
  <c r="Q47" i="4" s="1"/>
  <c r="P48" i="4"/>
  <c r="Q48" i="4" s="1"/>
  <c r="P49" i="4"/>
  <c r="Q49" i="4" s="1"/>
  <c r="P50" i="4"/>
  <c r="Q50" i="4" s="1"/>
  <c r="P51" i="4"/>
  <c r="Q51" i="4" s="1"/>
  <c r="P52" i="4"/>
  <c r="Q52" i="4" s="1"/>
  <c r="P53" i="4"/>
  <c r="Q53" i="4" s="1"/>
  <c r="P54" i="4"/>
  <c r="Q54" i="4" s="1"/>
  <c r="P55" i="4"/>
  <c r="Q55" i="4" s="1"/>
  <c r="P56" i="4"/>
  <c r="Q56" i="4" s="1"/>
  <c r="P57" i="4"/>
  <c r="Q57" i="4" s="1"/>
  <c r="P58" i="4"/>
  <c r="Q58" i="4" s="1"/>
  <c r="P59" i="4"/>
  <c r="Q59" i="4" s="1"/>
  <c r="P60" i="4"/>
  <c r="Q60" i="4" s="1"/>
  <c r="P61" i="4"/>
  <c r="Q61" i="4" s="1"/>
  <c r="P62" i="4"/>
  <c r="Q62" i="4" s="1"/>
  <c r="P63" i="4"/>
  <c r="Q63" i="4" s="1"/>
  <c r="P64" i="4"/>
  <c r="Q64" i="4" s="1"/>
  <c r="P65" i="4"/>
  <c r="Q65" i="4" s="1"/>
  <c r="P66" i="4"/>
  <c r="Q66" i="4" s="1"/>
  <c r="P67" i="4"/>
  <c r="Q67" i="4" s="1"/>
  <c r="P68" i="4"/>
  <c r="Q68" i="4" s="1"/>
  <c r="P69" i="4"/>
  <c r="Q69" i="4" s="1"/>
  <c r="P70" i="4"/>
  <c r="Q70" i="4" s="1"/>
  <c r="P71" i="4"/>
  <c r="Q71" i="4" s="1"/>
  <c r="P72" i="4"/>
  <c r="Q72" i="4" s="1"/>
  <c r="P73" i="4"/>
  <c r="Q73" i="4" s="1"/>
  <c r="AI67" i="1"/>
  <c r="AL67" i="1"/>
  <c r="AM67" i="1"/>
  <c r="AK66" i="1"/>
  <c r="AK67" i="1"/>
  <c r="AJ67" i="1"/>
  <c r="Q30" i="4"/>
  <c r="Q31" i="4"/>
  <c r="R30" i="4"/>
  <c r="R31" i="4"/>
  <c r="O31" i="4"/>
  <c r="O30" i="4"/>
  <c r="AJ66" i="1"/>
  <c r="Q16" i="4"/>
  <c r="Q17" i="4"/>
  <c r="R16" i="4"/>
  <c r="R17" i="4"/>
  <c r="O16" i="4"/>
  <c r="O17" i="4"/>
  <c r="AI6" i="1"/>
  <c r="AJ6" i="1"/>
  <c r="AK6" i="1"/>
  <c r="AL6" i="1"/>
  <c r="AM6" i="1"/>
  <c r="AP6" i="1"/>
  <c r="AQ6" i="1"/>
  <c r="AR6" i="1"/>
  <c r="AS6" i="1"/>
  <c r="AT6" i="1"/>
  <c r="AU6" i="1"/>
  <c r="AI7" i="1"/>
  <c r="AJ7" i="1"/>
  <c r="AK7" i="1"/>
  <c r="AL7" i="1"/>
  <c r="AM7" i="1"/>
  <c r="AP7" i="1"/>
  <c r="AQ7" i="1"/>
  <c r="AR7" i="1"/>
  <c r="AS7" i="1"/>
  <c r="AT7" i="1"/>
  <c r="AI8" i="1"/>
  <c r="AJ8" i="1"/>
  <c r="AK8" i="1"/>
  <c r="AL8" i="1"/>
  <c r="AM8" i="1"/>
  <c r="AP8" i="1"/>
  <c r="AQ8" i="1"/>
  <c r="AR8" i="1"/>
  <c r="AS8" i="1"/>
  <c r="AT8" i="1"/>
  <c r="AI9" i="1"/>
  <c r="AJ9" i="1"/>
  <c r="AK9" i="1"/>
  <c r="AL9" i="1"/>
  <c r="AM9" i="1"/>
  <c r="AP9" i="1"/>
  <c r="AQ9" i="1"/>
  <c r="AR9" i="1"/>
  <c r="AS9" i="1"/>
  <c r="AV9" i="1" s="1"/>
  <c r="AT9" i="1"/>
  <c r="AI10" i="1"/>
  <c r="AJ10" i="1"/>
  <c r="AK10" i="1"/>
  <c r="AL10" i="1"/>
  <c r="AM10" i="1"/>
  <c r="AP10" i="1"/>
  <c r="AQ10" i="1"/>
  <c r="AR10" i="1"/>
  <c r="AS10" i="1"/>
  <c r="AT10" i="1"/>
  <c r="AI11" i="1"/>
  <c r="AJ11" i="1"/>
  <c r="AK11" i="1"/>
  <c r="AL11" i="1"/>
  <c r="AM11" i="1"/>
  <c r="AP11" i="1"/>
  <c r="AQ11" i="1"/>
  <c r="AR11" i="1"/>
  <c r="AS11" i="1"/>
  <c r="AT11" i="1"/>
  <c r="AI12" i="1"/>
  <c r="AJ12" i="1"/>
  <c r="AK12" i="1"/>
  <c r="AL12" i="1"/>
  <c r="AM12" i="1"/>
  <c r="AP12" i="1"/>
  <c r="AQ12" i="1"/>
  <c r="AR12" i="1"/>
  <c r="AS12" i="1"/>
  <c r="AV12" i="1" s="1"/>
  <c r="AT12" i="1"/>
  <c r="AI13" i="1"/>
  <c r="AJ13" i="1"/>
  <c r="AK13" i="1"/>
  <c r="AL13" i="1"/>
  <c r="AM13" i="1"/>
  <c r="AP13" i="1"/>
  <c r="AQ13" i="1"/>
  <c r="AU13" i="1" s="1"/>
  <c r="AR13" i="1"/>
  <c r="AS13" i="1"/>
  <c r="AV13" i="1" s="1"/>
  <c r="AT13" i="1"/>
  <c r="AI14" i="1"/>
  <c r="AJ14" i="1"/>
  <c r="AK14" i="1"/>
  <c r="AL14" i="1"/>
  <c r="AM14" i="1"/>
  <c r="AP14" i="1"/>
  <c r="AQ14" i="1"/>
  <c r="AU14" i="1" s="1"/>
  <c r="AR14" i="1"/>
  <c r="AS14" i="1"/>
  <c r="AV14" i="1" s="1"/>
  <c r="AT14" i="1"/>
  <c r="AI15" i="1"/>
  <c r="AJ15" i="1"/>
  <c r="AK15" i="1"/>
  <c r="AL15" i="1"/>
  <c r="AM15" i="1"/>
  <c r="AP15" i="1"/>
  <c r="AQ15" i="1"/>
  <c r="AU15" i="1" s="1"/>
  <c r="AR15" i="1"/>
  <c r="AS15" i="1"/>
  <c r="AV15" i="1" s="1"/>
  <c r="AT15" i="1"/>
  <c r="AI16" i="1"/>
  <c r="AJ16" i="1"/>
  <c r="AK16" i="1"/>
  <c r="AL16" i="1"/>
  <c r="AM16" i="1"/>
  <c r="AP16" i="1"/>
  <c r="AQ16" i="1"/>
  <c r="AU16" i="1" s="1"/>
  <c r="AR16" i="1"/>
  <c r="AS16" i="1"/>
  <c r="AV16" i="1" s="1"/>
  <c r="AT16" i="1"/>
  <c r="AI17" i="1"/>
  <c r="AJ17" i="1"/>
  <c r="AK17" i="1"/>
  <c r="AL17" i="1"/>
  <c r="AM17" i="1"/>
  <c r="AP17" i="1"/>
  <c r="AQ17" i="1"/>
  <c r="AU17" i="1" s="1"/>
  <c r="AR17" i="1"/>
  <c r="AS17" i="1"/>
  <c r="AV17" i="1" s="1"/>
  <c r="AT17" i="1"/>
  <c r="AI20" i="1"/>
  <c r="AJ20" i="1"/>
  <c r="AK20" i="1"/>
  <c r="AL20" i="1"/>
  <c r="AM20" i="1"/>
  <c r="AP20" i="1"/>
  <c r="AQ20" i="1"/>
  <c r="AR20" i="1"/>
  <c r="AS20" i="1"/>
  <c r="AT20" i="1"/>
  <c r="AI21" i="1"/>
  <c r="AJ21" i="1"/>
  <c r="AK21" i="1"/>
  <c r="AL21" i="1"/>
  <c r="AM21" i="1"/>
  <c r="AP21" i="1"/>
  <c r="AQ21" i="1"/>
  <c r="AR21" i="1"/>
  <c r="AS21" i="1"/>
  <c r="AT21" i="1"/>
  <c r="AI22" i="1"/>
  <c r="AJ22" i="1"/>
  <c r="AK22" i="1"/>
  <c r="AL22" i="1"/>
  <c r="AM22" i="1"/>
  <c r="AP22" i="1"/>
  <c r="AQ22" i="1"/>
  <c r="AR22" i="1"/>
  <c r="AS22" i="1"/>
  <c r="AT22" i="1"/>
  <c r="AI23" i="1"/>
  <c r="AJ23" i="1"/>
  <c r="AK23" i="1"/>
  <c r="AL23" i="1"/>
  <c r="AM23" i="1"/>
  <c r="AP23" i="1"/>
  <c r="AQ23" i="1"/>
  <c r="AR23" i="1"/>
  <c r="AS23" i="1"/>
  <c r="AT23" i="1"/>
  <c r="AI24" i="1"/>
  <c r="AJ24" i="1"/>
  <c r="AK24" i="1"/>
  <c r="AL24" i="1"/>
  <c r="AM24" i="1"/>
  <c r="AP24" i="1"/>
  <c r="AQ24" i="1"/>
  <c r="AR24" i="1"/>
  <c r="AS24" i="1"/>
  <c r="AT24" i="1"/>
  <c r="AI25" i="1"/>
  <c r="AJ25" i="1"/>
  <c r="AK25" i="1"/>
  <c r="AL25" i="1"/>
  <c r="AM25" i="1"/>
  <c r="AP25" i="1"/>
  <c r="AQ25" i="1"/>
  <c r="AR25" i="1"/>
  <c r="AS25" i="1"/>
  <c r="AT25" i="1"/>
  <c r="AI26" i="1"/>
  <c r="AJ26" i="1"/>
  <c r="AK26" i="1"/>
  <c r="AL26" i="1"/>
  <c r="AM26" i="1"/>
  <c r="AP26" i="1"/>
  <c r="AQ26" i="1"/>
  <c r="AR26" i="1"/>
  <c r="AS26" i="1"/>
  <c r="AT26" i="1"/>
  <c r="AI27" i="1"/>
  <c r="AJ27" i="1"/>
  <c r="AK27" i="1"/>
  <c r="AL27" i="1"/>
  <c r="AM27" i="1"/>
  <c r="AP27" i="1"/>
  <c r="AQ27" i="1"/>
  <c r="AR27" i="1"/>
  <c r="AS27" i="1"/>
  <c r="AT27" i="1"/>
  <c r="AI28" i="1"/>
  <c r="AJ28" i="1"/>
  <c r="AK28" i="1"/>
  <c r="AL28" i="1"/>
  <c r="AM28" i="1"/>
  <c r="AP28" i="1"/>
  <c r="AQ28" i="1"/>
  <c r="AR28" i="1"/>
  <c r="AS28" i="1"/>
  <c r="AT28" i="1"/>
  <c r="AI29" i="1"/>
  <c r="AJ29" i="1"/>
  <c r="AK29" i="1"/>
  <c r="AL29" i="1"/>
  <c r="AM29" i="1"/>
  <c r="AP29" i="1"/>
  <c r="AQ29" i="1"/>
  <c r="AR29" i="1"/>
  <c r="AS29" i="1"/>
  <c r="AV29" i="1" s="1"/>
  <c r="AT29" i="1"/>
  <c r="AI30" i="1"/>
  <c r="AJ30" i="1"/>
  <c r="AK30" i="1"/>
  <c r="AL30" i="1"/>
  <c r="AM30" i="1"/>
  <c r="AP30" i="1"/>
  <c r="AQ30" i="1"/>
  <c r="AR30" i="1"/>
  <c r="AS30" i="1"/>
  <c r="AT30" i="1"/>
  <c r="AI31" i="1"/>
  <c r="AJ31" i="1"/>
  <c r="AK31" i="1"/>
  <c r="AL31" i="1"/>
  <c r="AM31" i="1"/>
  <c r="AP31" i="1"/>
  <c r="AQ31" i="1"/>
  <c r="AR31" i="1"/>
  <c r="AS31" i="1"/>
  <c r="AV31" i="1" s="1"/>
  <c r="AT31" i="1"/>
  <c r="AI32" i="1"/>
  <c r="AJ32" i="1"/>
  <c r="AK32" i="1"/>
  <c r="AL32" i="1"/>
  <c r="AM32" i="1"/>
  <c r="AP32" i="1"/>
  <c r="AQ32" i="1"/>
  <c r="AR32" i="1"/>
  <c r="AS32" i="1"/>
  <c r="AT32" i="1"/>
  <c r="AI33" i="1"/>
  <c r="AJ33" i="1"/>
  <c r="AK33" i="1"/>
  <c r="AL33" i="1"/>
  <c r="AM33" i="1"/>
  <c r="AP33" i="1"/>
  <c r="AQ33" i="1"/>
  <c r="AR33" i="1"/>
  <c r="AS33" i="1"/>
  <c r="AV33" i="1" s="1"/>
  <c r="AT33" i="1"/>
  <c r="AI34" i="1"/>
  <c r="AJ34" i="1"/>
  <c r="AK34" i="1"/>
  <c r="AL34" i="1"/>
  <c r="AM34" i="1"/>
  <c r="AP34" i="1"/>
  <c r="AQ34" i="1"/>
  <c r="AR34" i="1"/>
  <c r="AS34" i="1"/>
  <c r="AT34" i="1"/>
  <c r="AI35" i="1"/>
  <c r="AJ35" i="1"/>
  <c r="AK35" i="1"/>
  <c r="AL35" i="1"/>
  <c r="AM35" i="1"/>
  <c r="AP35" i="1"/>
  <c r="AQ35" i="1"/>
  <c r="AR35" i="1"/>
  <c r="AS35" i="1"/>
  <c r="AT35" i="1"/>
  <c r="AI36" i="1"/>
  <c r="AJ36" i="1"/>
  <c r="AK36" i="1"/>
  <c r="AL36" i="1"/>
  <c r="AM36" i="1"/>
  <c r="AP36" i="1"/>
  <c r="AQ36" i="1"/>
  <c r="AR36" i="1"/>
  <c r="AS36" i="1"/>
  <c r="AT36" i="1"/>
  <c r="AU36" i="1"/>
  <c r="AI37" i="1"/>
  <c r="AJ37" i="1"/>
  <c r="AK37" i="1"/>
  <c r="AL37" i="1"/>
  <c r="AM37" i="1"/>
  <c r="AP37" i="1"/>
  <c r="AU37" i="1" s="1"/>
  <c r="AQ37" i="1"/>
  <c r="AR37" i="1"/>
  <c r="AS37" i="1"/>
  <c r="AT37" i="1"/>
  <c r="AI38" i="1"/>
  <c r="AJ38" i="1"/>
  <c r="AK38" i="1"/>
  <c r="AL38" i="1"/>
  <c r="AM38" i="1"/>
  <c r="AP38" i="1"/>
  <c r="AQ38" i="1"/>
  <c r="AR38" i="1"/>
  <c r="AS38" i="1"/>
  <c r="AV38" i="1" s="1"/>
  <c r="AT38" i="1"/>
  <c r="AI39" i="1"/>
  <c r="AJ39" i="1"/>
  <c r="AK39" i="1"/>
  <c r="AL39" i="1"/>
  <c r="AM39" i="1"/>
  <c r="AP39" i="1"/>
  <c r="AQ39" i="1"/>
  <c r="AR39" i="1"/>
  <c r="AS39" i="1"/>
  <c r="AT39" i="1"/>
  <c r="AI40" i="1"/>
  <c r="AJ40" i="1"/>
  <c r="AK40" i="1"/>
  <c r="AL40" i="1"/>
  <c r="AM40" i="1"/>
  <c r="AP40" i="1"/>
  <c r="AU40" i="1" s="1"/>
  <c r="AQ40" i="1"/>
  <c r="AR40" i="1"/>
  <c r="AS40" i="1"/>
  <c r="AV40" i="1" s="1"/>
  <c r="AT40" i="1"/>
  <c r="AI43" i="1"/>
  <c r="AJ43" i="1"/>
  <c r="AK43" i="1"/>
  <c r="AL43" i="1"/>
  <c r="AM43" i="1"/>
  <c r="AP43" i="1"/>
  <c r="AQ43" i="1"/>
  <c r="AR43" i="1"/>
  <c r="AS43" i="1"/>
  <c r="AT43" i="1"/>
  <c r="AI44" i="1"/>
  <c r="AJ44" i="1"/>
  <c r="AK44" i="1"/>
  <c r="AL44" i="1"/>
  <c r="AM44" i="1"/>
  <c r="AP44" i="1"/>
  <c r="AQ44" i="1"/>
  <c r="AR44" i="1"/>
  <c r="AS44" i="1"/>
  <c r="AT44" i="1"/>
  <c r="AI45" i="1"/>
  <c r="AJ45" i="1"/>
  <c r="AK45" i="1"/>
  <c r="AL45" i="1"/>
  <c r="AM45" i="1"/>
  <c r="AP45" i="1"/>
  <c r="AQ45" i="1"/>
  <c r="AR45" i="1"/>
  <c r="AS45" i="1"/>
  <c r="AT45" i="1"/>
  <c r="AI46" i="1"/>
  <c r="AJ46" i="1"/>
  <c r="AK46" i="1"/>
  <c r="AL46" i="1"/>
  <c r="AM46" i="1"/>
  <c r="AP46" i="1"/>
  <c r="AQ46" i="1"/>
  <c r="AR46" i="1"/>
  <c r="AS46" i="1"/>
  <c r="AT46" i="1"/>
  <c r="AI47" i="1"/>
  <c r="AJ47" i="1"/>
  <c r="AK47" i="1"/>
  <c r="AL47" i="1"/>
  <c r="AM47" i="1"/>
  <c r="AP47" i="1"/>
  <c r="AQ47" i="1"/>
  <c r="AR47" i="1"/>
  <c r="AS47" i="1"/>
  <c r="AT47" i="1"/>
  <c r="AI48" i="1"/>
  <c r="AJ48" i="1"/>
  <c r="AK48" i="1"/>
  <c r="AL48" i="1"/>
  <c r="AM48" i="1"/>
  <c r="AP48" i="1"/>
  <c r="AQ48" i="1"/>
  <c r="AR48" i="1"/>
  <c r="AS48" i="1"/>
  <c r="AT48" i="1"/>
  <c r="AI49" i="1"/>
  <c r="AJ49" i="1"/>
  <c r="AK49" i="1"/>
  <c r="AL49" i="1"/>
  <c r="AM49" i="1"/>
  <c r="AP49" i="1"/>
  <c r="AQ49" i="1"/>
  <c r="AR49" i="1"/>
  <c r="AS49" i="1"/>
  <c r="AT49" i="1"/>
  <c r="AI50" i="1"/>
  <c r="AJ50" i="1"/>
  <c r="AK50" i="1"/>
  <c r="AL50" i="1"/>
  <c r="AM50" i="1"/>
  <c r="AP50" i="1"/>
  <c r="AQ50" i="1"/>
  <c r="AR50" i="1"/>
  <c r="AS50" i="1"/>
  <c r="AT50" i="1"/>
  <c r="AI51" i="1"/>
  <c r="AJ51" i="1"/>
  <c r="AK51" i="1"/>
  <c r="AL51" i="1"/>
  <c r="AM51" i="1"/>
  <c r="AP51" i="1"/>
  <c r="AQ51" i="1"/>
  <c r="AR51" i="1"/>
  <c r="AS51" i="1"/>
  <c r="AT51" i="1"/>
  <c r="AU51" i="1"/>
  <c r="AI52" i="1"/>
  <c r="AJ52" i="1"/>
  <c r="AK52" i="1"/>
  <c r="AL52" i="1"/>
  <c r="AM52" i="1"/>
  <c r="AP52" i="1"/>
  <c r="AQ52" i="1"/>
  <c r="AR52" i="1"/>
  <c r="AS52" i="1"/>
  <c r="AV52" i="1" s="1"/>
  <c r="AT52" i="1"/>
  <c r="AU52" i="1"/>
  <c r="AI53" i="1"/>
  <c r="AJ53" i="1"/>
  <c r="AK53" i="1"/>
  <c r="AL53" i="1"/>
  <c r="AM53" i="1"/>
  <c r="AP53" i="1"/>
  <c r="AQ53" i="1"/>
  <c r="AR53" i="1"/>
  <c r="AS53" i="1"/>
  <c r="AV53" i="1" s="1"/>
  <c r="AT53" i="1"/>
  <c r="AU53" i="1"/>
  <c r="AI54" i="1"/>
  <c r="AJ54" i="1"/>
  <c r="AK54" i="1"/>
  <c r="AL54" i="1"/>
  <c r="AM54" i="1"/>
  <c r="AP54" i="1"/>
  <c r="AQ54" i="1"/>
  <c r="AR54" i="1"/>
  <c r="AS54" i="1"/>
  <c r="AV54" i="1" s="1"/>
  <c r="AT54" i="1"/>
  <c r="AU54" i="1"/>
  <c r="AI55" i="1"/>
  <c r="AJ55" i="1"/>
  <c r="AK55" i="1"/>
  <c r="AL55" i="1"/>
  <c r="AM55" i="1"/>
  <c r="AP55" i="1"/>
  <c r="AQ55" i="1"/>
  <c r="AR55" i="1"/>
  <c r="AS55" i="1"/>
  <c r="AV55" i="1" s="1"/>
  <c r="AT55" i="1"/>
  <c r="AU55" i="1"/>
  <c r="AI56" i="1"/>
  <c r="AJ56" i="1"/>
  <c r="AK56" i="1"/>
  <c r="AL56" i="1"/>
  <c r="AM56" i="1"/>
  <c r="AP56" i="1"/>
  <c r="AQ56" i="1"/>
  <c r="AR56" i="1"/>
  <c r="AS56" i="1"/>
  <c r="AV56" i="1" s="1"/>
  <c r="AT56" i="1"/>
  <c r="AU56" i="1"/>
  <c r="AI57" i="1"/>
  <c r="AJ57" i="1"/>
  <c r="AK57" i="1"/>
  <c r="AL57" i="1"/>
  <c r="AM57" i="1"/>
  <c r="AP57" i="1"/>
  <c r="AQ57" i="1"/>
  <c r="AR57" i="1"/>
  <c r="AS57" i="1"/>
  <c r="AV57" i="1" s="1"/>
  <c r="AT57" i="1"/>
  <c r="AU57" i="1"/>
  <c r="AI58" i="1"/>
  <c r="AJ58" i="1"/>
  <c r="AK58" i="1"/>
  <c r="AL58" i="1"/>
  <c r="AM58" i="1"/>
  <c r="AP58" i="1"/>
  <c r="AQ58" i="1"/>
  <c r="AR58" i="1"/>
  <c r="AS58" i="1"/>
  <c r="AV58" i="1" s="1"/>
  <c r="AT58" i="1"/>
  <c r="AU58" i="1"/>
  <c r="AI59" i="1"/>
  <c r="AJ59" i="1"/>
  <c r="AK59" i="1"/>
  <c r="AL59" i="1"/>
  <c r="AM59" i="1"/>
  <c r="AP59" i="1"/>
  <c r="AQ59" i="1"/>
  <c r="AR59" i="1"/>
  <c r="AS59" i="1"/>
  <c r="AV59" i="1" s="1"/>
  <c r="AT59" i="1"/>
  <c r="AU59" i="1"/>
  <c r="AI60" i="1"/>
  <c r="AJ60" i="1"/>
  <c r="AK60" i="1"/>
  <c r="AL60" i="1"/>
  <c r="AM60" i="1"/>
  <c r="AP60" i="1"/>
  <c r="AQ60" i="1"/>
  <c r="AR60" i="1"/>
  <c r="AS60" i="1"/>
  <c r="AV60" i="1" s="1"/>
  <c r="AT60" i="1"/>
  <c r="AU60" i="1"/>
  <c r="AI61" i="1"/>
  <c r="AJ61" i="1"/>
  <c r="AK61" i="1"/>
  <c r="AL61" i="1"/>
  <c r="AM61" i="1"/>
  <c r="AP61" i="1"/>
  <c r="AQ61" i="1"/>
  <c r="AR61" i="1"/>
  <c r="AS61" i="1"/>
  <c r="AV61" i="1" s="1"/>
  <c r="AT61" i="1"/>
  <c r="AU61" i="1"/>
  <c r="AI62" i="1"/>
  <c r="AJ62" i="1"/>
  <c r="AK62" i="1"/>
  <c r="AL62" i="1"/>
  <c r="AM62" i="1"/>
  <c r="AP62" i="1"/>
  <c r="AQ62" i="1"/>
  <c r="AR62" i="1"/>
  <c r="AS62" i="1"/>
  <c r="AV62" i="1" s="1"/>
  <c r="AT62" i="1"/>
  <c r="AU62" i="1"/>
  <c r="AI63" i="1"/>
  <c r="AJ63" i="1"/>
  <c r="AK63" i="1"/>
  <c r="AL63" i="1"/>
  <c r="AM63" i="1"/>
  <c r="AP63" i="1"/>
  <c r="AQ63" i="1"/>
  <c r="AR63" i="1"/>
  <c r="AS63" i="1"/>
  <c r="AV63" i="1" s="1"/>
  <c r="AT63" i="1"/>
  <c r="AU63" i="1"/>
  <c r="AI66" i="1"/>
  <c r="AL66" i="1"/>
  <c r="AM66" i="1"/>
  <c r="AP66" i="1"/>
  <c r="AQ66" i="1"/>
  <c r="AR66" i="1"/>
  <c r="AS66" i="1"/>
  <c r="AT66" i="1"/>
  <c r="AP67" i="1"/>
  <c r="AQ67" i="1"/>
  <c r="AR67" i="1"/>
  <c r="AS67" i="1"/>
  <c r="AT67" i="1"/>
  <c r="AI68" i="1"/>
  <c r="AJ68" i="1"/>
  <c r="AK68" i="1"/>
  <c r="AL68" i="1"/>
  <c r="AM68" i="1"/>
  <c r="AP68" i="1"/>
  <c r="AQ68" i="1"/>
  <c r="AR68" i="1"/>
  <c r="AS68" i="1"/>
  <c r="AT68" i="1"/>
  <c r="AI69" i="1"/>
  <c r="AJ69" i="1"/>
  <c r="AK69" i="1"/>
  <c r="AL69" i="1"/>
  <c r="AM69" i="1"/>
  <c r="AP69" i="1"/>
  <c r="AQ69" i="1"/>
  <c r="AR69" i="1"/>
  <c r="AS69" i="1"/>
  <c r="AT69" i="1"/>
  <c r="AI70" i="1"/>
  <c r="AJ70" i="1"/>
  <c r="AK70" i="1"/>
  <c r="AL70" i="1"/>
  <c r="AM70" i="1"/>
  <c r="AP70" i="1"/>
  <c r="AQ70" i="1"/>
  <c r="AR70" i="1"/>
  <c r="AS70" i="1"/>
  <c r="AV70" i="1" s="1"/>
  <c r="AT70" i="1"/>
  <c r="AI71" i="1"/>
  <c r="AJ71" i="1"/>
  <c r="AK71" i="1"/>
  <c r="AL71" i="1"/>
  <c r="AM71" i="1"/>
  <c r="AP71" i="1"/>
  <c r="AQ71" i="1"/>
  <c r="AR71" i="1"/>
  <c r="AS71" i="1"/>
  <c r="AT71" i="1"/>
  <c r="AI72" i="1"/>
  <c r="AJ72" i="1"/>
  <c r="AK72" i="1"/>
  <c r="AL72" i="1"/>
  <c r="AM72" i="1"/>
  <c r="AP72" i="1"/>
  <c r="AQ72" i="1"/>
  <c r="AR72" i="1"/>
  <c r="AS72" i="1"/>
  <c r="AT72" i="1"/>
  <c r="AI73" i="1"/>
  <c r="AJ73" i="1"/>
  <c r="AK73" i="1"/>
  <c r="AL73" i="1"/>
  <c r="AM73" i="1"/>
  <c r="AP73" i="1"/>
  <c r="AU73" i="1" s="1"/>
  <c r="AQ73" i="1"/>
  <c r="AR73" i="1"/>
  <c r="AS73" i="1"/>
  <c r="AV73" i="1" s="1"/>
  <c r="AT73" i="1"/>
  <c r="AI74" i="1"/>
  <c r="AJ74" i="1"/>
  <c r="AK74" i="1"/>
  <c r="AL74" i="1"/>
  <c r="AM74" i="1"/>
  <c r="AP74" i="1"/>
  <c r="AQ74" i="1"/>
  <c r="AR74" i="1"/>
  <c r="AS74" i="1"/>
  <c r="AV74" i="1" s="1"/>
  <c r="AT74" i="1"/>
  <c r="AI75" i="1"/>
  <c r="AJ75" i="1"/>
  <c r="AK75" i="1"/>
  <c r="AL75" i="1"/>
  <c r="AM75" i="1"/>
  <c r="AP75" i="1"/>
  <c r="AQ75" i="1"/>
  <c r="AU75" i="1" s="1"/>
  <c r="AR75" i="1"/>
  <c r="AS75" i="1"/>
  <c r="AV75" i="1" s="1"/>
  <c r="AT75" i="1"/>
  <c r="AI76" i="1"/>
  <c r="AJ76" i="1"/>
  <c r="AK76" i="1"/>
  <c r="AL76" i="1"/>
  <c r="AM76" i="1"/>
  <c r="AP76" i="1"/>
  <c r="AQ76" i="1"/>
  <c r="AU76" i="1" s="1"/>
  <c r="AR76" i="1"/>
  <c r="AS76" i="1"/>
  <c r="AV76" i="1" s="1"/>
  <c r="AT76" i="1"/>
  <c r="AI79" i="1"/>
  <c r="AJ79" i="1"/>
  <c r="AK79" i="1"/>
  <c r="AL79" i="1"/>
  <c r="AM79" i="1"/>
  <c r="AP79" i="1"/>
  <c r="AQ79" i="1"/>
  <c r="AR79" i="1"/>
  <c r="AS79" i="1"/>
  <c r="AT79" i="1"/>
  <c r="AI80" i="1"/>
  <c r="AJ80" i="1"/>
  <c r="AK80" i="1"/>
  <c r="AL80" i="1"/>
  <c r="AM80" i="1"/>
  <c r="AP80" i="1"/>
  <c r="AQ80" i="1"/>
  <c r="AR80" i="1"/>
  <c r="AS80" i="1"/>
  <c r="AT80" i="1"/>
  <c r="AI81" i="1"/>
  <c r="AJ81" i="1"/>
  <c r="AK81" i="1"/>
  <c r="AL81" i="1"/>
  <c r="AM81" i="1"/>
  <c r="AP81" i="1"/>
  <c r="AQ81" i="1"/>
  <c r="AR81" i="1"/>
  <c r="AS81" i="1"/>
  <c r="AT81" i="1"/>
  <c r="AI82" i="1"/>
  <c r="AJ82" i="1"/>
  <c r="AK82" i="1"/>
  <c r="AL82" i="1"/>
  <c r="AM82" i="1"/>
  <c r="AP82" i="1"/>
  <c r="AU82" i="1" s="1"/>
  <c r="AQ82" i="1"/>
  <c r="AR82" i="1"/>
  <c r="AS82" i="1"/>
  <c r="AT82" i="1"/>
  <c r="AI83" i="1"/>
  <c r="AJ83" i="1"/>
  <c r="AK83" i="1"/>
  <c r="AL83" i="1"/>
  <c r="AM83" i="1"/>
  <c r="AP83" i="1"/>
  <c r="AQ83" i="1"/>
  <c r="AR83" i="1"/>
  <c r="AS83" i="1"/>
  <c r="AT83" i="1"/>
  <c r="AI84" i="1"/>
  <c r="AJ84" i="1"/>
  <c r="AK84" i="1"/>
  <c r="AL84" i="1"/>
  <c r="AM84" i="1"/>
  <c r="AP84" i="1"/>
  <c r="AQ84" i="1"/>
  <c r="AR84" i="1"/>
  <c r="AS84" i="1"/>
  <c r="AT84" i="1"/>
  <c r="AI85" i="1"/>
  <c r="AJ85" i="1"/>
  <c r="AK85" i="1"/>
  <c r="AL85" i="1"/>
  <c r="AM85" i="1"/>
  <c r="AP85" i="1"/>
  <c r="AQ85" i="1"/>
  <c r="AR85" i="1"/>
  <c r="AS85" i="1"/>
  <c r="AT85" i="1"/>
  <c r="AI86" i="1"/>
  <c r="AJ86" i="1"/>
  <c r="AK86" i="1"/>
  <c r="AL86" i="1"/>
  <c r="AM86" i="1"/>
  <c r="AP86" i="1"/>
  <c r="AQ86" i="1"/>
  <c r="AR86" i="1"/>
  <c r="AS86" i="1"/>
  <c r="AV86" i="1" s="1"/>
  <c r="AT86" i="1"/>
  <c r="M66" i="4"/>
  <c r="M67" i="4"/>
  <c r="M68" i="4"/>
  <c r="M69" i="4"/>
  <c r="M70" i="4"/>
  <c r="M71" i="4"/>
  <c r="M72" i="4"/>
  <c r="M73" i="4"/>
  <c r="I66" i="4"/>
  <c r="I67" i="4"/>
  <c r="I68" i="4"/>
  <c r="I69" i="4"/>
  <c r="I70" i="4"/>
  <c r="I71" i="4"/>
  <c r="I72" i="4"/>
  <c r="I73" i="4"/>
  <c r="E66" i="4"/>
  <c r="E67" i="4"/>
  <c r="E68" i="4"/>
  <c r="E69" i="4"/>
  <c r="E70" i="4"/>
  <c r="E71" i="4"/>
  <c r="E72" i="4"/>
  <c r="E73" i="4"/>
  <c r="M52" i="4"/>
  <c r="M53" i="4"/>
  <c r="M54" i="4"/>
  <c r="M55" i="4"/>
  <c r="M56" i="4"/>
  <c r="M57" i="4"/>
  <c r="M58" i="4"/>
  <c r="M59" i="4"/>
  <c r="AI5" i="1"/>
  <c r="AL5" i="1"/>
  <c r="AM5" i="1"/>
  <c r="I58" i="4"/>
  <c r="I59" i="4"/>
  <c r="E58" i="4"/>
  <c r="E59" i="4"/>
  <c r="M38" i="4"/>
  <c r="M39" i="4"/>
  <c r="M40" i="4"/>
  <c r="M41" i="4"/>
  <c r="M42" i="4"/>
  <c r="M43" i="4"/>
  <c r="M44" i="4"/>
  <c r="M45" i="4"/>
  <c r="I44" i="4"/>
  <c r="I45" i="4"/>
  <c r="E45" i="4"/>
  <c r="M24" i="4"/>
  <c r="M25" i="4"/>
  <c r="M26" i="4"/>
  <c r="M27" i="4"/>
  <c r="M28" i="4"/>
  <c r="M29" i="4"/>
  <c r="M30" i="4"/>
  <c r="M31" i="4"/>
  <c r="I29" i="4"/>
  <c r="I30" i="4"/>
  <c r="I31" i="4"/>
  <c r="E30" i="4"/>
  <c r="E31" i="4"/>
  <c r="M12" i="4"/>
  <c r="M13" i="4"/>
  <c r="M14" i="4"/>
  <c r="M15" i="4"/>
  <c r="M16" i="4"/>
  <c r="M17" i="4"/>
  <c r="I15" i="4"/>
  <c r="I16" i="4"/>
  <c r="I17" i="4"/>
  <c r="E16" i="4"/>
  <c r="E17" i="4"/>
  <c r="AK5" i="1"/>
  <c r="AJ5" i="1"/>
  <c r="K66" i="4"/>
  <c r="K67" i="4"/>
  <c r="K68" i="4"/>
  <c r="K69" i="4"/>
  <c r="K70" i="4"/>
  <c r="K71" i="4"/>
  <c r="K72" i="4"/>
  <c r="K73" i="4"/>
  <c r="L66" i="4"/>
  <c r="L67" i="4"/>
  <c r="L68" i="4"/>
  <c r="L69" i="4"/>
  <c r="L70" i="4"/>
  <c r="L71" i="4"/>
  <c r="L72" i="4"/>
  <c r="L73" i="4"/>
  <c r="G66" i="4"/>
  <c r="G67" i="4"/>
  <c r="G68" i="4"/>
  <c r="G69" i="4"/>
  <c r="G70" i="4"/>
  <c r="G71" i="4"/>
  <c r="G72" i="4"/>
  <c r="G73" i="4"/>
  <c r="H66" i="4"/>
  <c r="H67" i="4"/>
  <c r="H68" i="4"/>
  <c r="H69" i="4"/>
  <c r="H70" i="4"/>
  <c r="H71" i="4"/>
  <c r="H72" i="4"/>
  <c r="H73" i="4"/>
  <c r="C66" i="4"/>
  <c r="C67" i="4"/>
  <c r="C68" i="4"/>
  <c r="C69" i="4"/>
  <c r="C70" i="4"/>
  <c r="C71" i="4"/>
  <c r="C72" i="4"/>
  <c r="C73" i="4"/>
  <c r="D66" i="4"/>
  <c r="D67" i="4"/>
  <c r="D68" i="4"/>
  <c r="D69" i="4"/>
  <c r="D70" i="4"/>
  <c r="D71" i="4"/>
  <c r="D72" i="4"/>
  <c r="D73" i="4"/>
  <c r="K52" i="4"/>
  <c r="K53" i="4"/>
  <c r="K54" i="4"/>
  <c r="K55" i="4"/>
  <c r="K56" i="4"/>
  <c r="K57" i="4"/>
  <c r="K58" i="4"/>
  <c r="K59" i="4"/>
  <c r="L52" i="4"/>
  <c r="L53" i="4"/>
  <c r="L54" i="4"/>
  <c r="L55" i="4"/>
  <c r="L56" i="4"/>
  <c r="L57" i="4"/>
  <c r="L58" i="4"/>
  <c r="L59" i="4"/>
  <c r="G58" i="4"/>
  <c r="G59" i="4"/>
  <c r="H58" i="4"/>
  <c r="H59" i="4"/>
  <c r="C58" i="4"/>
  <c r="C59" i="4"/>
  <c r="D58" i="4"/>
  <c r="D59" i="4"/>
  <c r="K38" i="4"/>
  <c r="K39" i="4"/>
  <c r="K40" i="4"/>
  <c r="K41" i="4"/>
  <c r="K42" i="4"/>
  <c r="K43" i="4"/>
  <c r="K44" i="4"/>
  <c r="K45" i="4"/>
  <c r="L38" i="4"/>
  <c r="L39" i="4"/>
  <c r="L40" i="4"/>
  <c r="L41" i="4"/>
  <c r="L42" i="4"/>
  <c r="L43" i="4"/>
  <c r="L44" i="4"/>
  <c r="L45" i="4"/>
  <c r="G44" i="4"/>
  <c r="G45" i="4"/>
  <c r="H44" i="4"/>
  <c r="H45" i="4"/>
  <c r="C45" i="4"/>
  <c r="D45" i="4"/>
  <c r="K24" i="4"/>
  <c r="K25" i="4"/>
  <c r="K26" i="4"/>
  <c r="K27" i="4"/>
  <c r="K28" i="4"/>
  <c r="K29" i="4"/>
  <c r="K30" i="4"/>
  <c r="K31" i="4"/>
  <c r="L24" i="4"/>
  <c r="L25" i="4"/>
  <c r="L26" i="4"/>
  <c r="L27" i="4"/>
  <c r="L28" i="4"/>
  <c r="L29" i="4"/>
  <c r="L30" i="4"/>
  <c r="L31" i="4"/>
  <c r="G29" i="4"/>
  <c r="G30" i="4"/>
  <c r="G31" i="4"/>
  <c r="H29" i="4"/>
  <c r="H30" i="4"/>
  <c r="H31" i="4"/>
  <c r="C30" i="4"/>
  <c r="C31" i="4"/>
  <c r="D30" i="4"/>
  <c r="D31" i="4"/>
  <c r="K12" i="4"/>
  <c r="K13" i="4"/>
  <c r="K14" i="4"/>
  <c r="K15" i="4"/>
  <c r="K16" i="4"/>
  <c r="K17" i="4"/>
  <c r="L12" i="4"/>
  <c r="L13" i="4"/>
  <c r="L14" i="4"/>
  <c r="L15" i="4"/>
  <c r="L16" i="4"/>
  <c r="L17" i="4"/>
  <c r="G15" i="4"/>
  <c r="G16" i="4"/>
  <c r="G17" i="4"/>
  <c r="H15" i="4"/>
  <c r="H16" i="4"/>
  <c r="H17" i="4"/>
  <c r="C16" i="4"/>
  <c r="C17" i="4"/>
  <c r="D16" i="4"/>
  <c r="D17" i="4"/>
  <c r="J63" i="4"/>
  <c r="F63" i="4"/>
  <c r="B63" i="4"/>
  <c r="B62" i="4"/>
  <c r="B48" i="4"/>
  <c r="B34" i="4"/>
  <c r="B20" i="4"/>
  <c r="J49" i="4"/>
  <c r="F49" i="4"/>
  <c r="B49" i="4"/>
  <c r="J35" i="4"/>
  <c r="F35" i="4"/>
  <c r="B35" i="4"/>
  <c r="J21" i="4"/>
  <c r="F21" i="4"/>
  <c r="B21" i="4"/>
  <c r="J7" i="4"/>
  <c r="F7" i="4"/>
  <c r="B7" i="4"/>
  <c r="B6" i="4"/>
  <c r="AS5" i="1"/>
  <c r="AT5" i="1"/>
  <c r="AP5" i="1"/>
  <c r="AQ5" i="1"/>
  <c r="AR5" i="1"/>
  <c r="M18" i="1"/>
  <c r="M41" i="1"/>
  <c r="M64" i="1"/>
  <c r="M77" i="1"/>
  <c r="N115" i="1" a="1"/>
  <c r="N115" i="1" s="1"/>
  <c r="O115" i="1" a="1"/>
  <c r="O115" i="1" s="1"/>
  <c r="P18" i="1"/>
  <c r="P41" i="1"/>
  <c r="P64" i="1"/>
  <c r="P77" i="1"/>
  <c r="Q115" i="1" a="1"/>
  <c r="Q115" i="1" s="1"/>
  <c r="R115" i="1" a="1"/>
  <c r="R115" i="1" s="1"/>
  <c r="S18" i="1"/>
  <c r="S41" i="1"/>
  <c r="S64" i="1"/>
  <c r="S77" i="1"/>
  <c r="T115" i="1" a="1"/>
  <c r="T115" i="1" s="1"/>
  <c r="U115" i="1" a="1"/>
  <c r="U115" i="1" s="1"/>
  <c r="V18" i="1"/>
  <c r="V41" i="1"/>
  <c r="V64" i="1"/>
  <c r="V77" i="1"/>
  <c r="W115" i="1" a="1"/>
  <c r="W115" i="1" s="1"/>
  <c r="X115" i="1" a="1"/>
  <c r="X115" i="1" s="1"/>
  <c r="Y18" i="1"/>
  <c r="Y41" i="1"/>
  <c r="Y64" i="1"/>
  <c r="Y77" i="1"/>
  <c r="Z115" i="1" a="1"/>
  <c r="Z115" i="1" s="1"/>
  <c r="AA115" i="1" a="1"/>
  <c r="AA115" i="1" s="1"/>
  <c r="L115" i="1" a="1"/>
  <c r="L115" i="1" s="1"/>
  <c r="M114" i="1"/>
  <c r="N114" i="1"/>
  <c r="O114" i="1"/>
  <c r="P114" i="1"/>
  <c r="Q114" i="1"/>
  <c r="R114" i="1"/>
  <c r="S114" i="1"/>
  <c r="T114" i="1"/>
  <c r="U114" i="1"/>
  <c r="V114" i="1"/>
  <c r="W114" i="1"/>
  <c r="X114" i="1"/>
  <c r="Y114" i="1"/>
  <c r="Z114" i="1"/>
  <c r="AA114" i="1"/>
  <c r="L114" i="1"/>
  <c r="AC16" i="1"/>
  <c r="AC39" i="1"/>
  <c r="AC85" i="1"/>
  <c r="AC75" i="1"/>
  <c r="C116" i="1"/>
  <c r="H116" i="1"/>
  <c r="L116" i="1"/>
  <c r="H2" i="1"/>
  <c r="M3" i="1"/>
  <c r="Y3" i="1"/>
  <c r="V3" i="1"/>
  <c r="S3" i="1"/>
  <c r="P3" i="1"/>
  <c r="AV51" i="1" l="1"/>
  <c r="AV7" i="1"/>
  <c r="AU10" i="1"/>
  <c r="AU9" i="1"/>
  <c r="AV6" i="1"/>
  <c r="AU11" i="1"/>
  <c r="AV11" i="1"/>
  <c r="AU34" i="1"/>
  <c r="AV32" i="1"/>
  <c r="AU31" i="1"/>
  <c r="AU32" i="1"/>
  <c r="AV34" i="1"/>
  <c r="AN70" i="1"/>
  <c r="AO70" i="1" s="1"/>
  <c r="AU70" i="1"/>
  <c r="AC104" i="1"/>
  <c r="AV50" i="1"/>
  <c r="AU67" i="1"/>
  <c r="AU12" i="1"/>
  <c r="AV37" i="1"/>
  <c r="AU74" i="1"/>
  <c r="AU50" i="1"/>
  <c r="AV28" i="1"/>
  <c r="AV8" i="1"/>
  <c r="AU86" i="1"/>
  <c r="AU7" i="1"/>
  <c r="AU38" i="1"/>
  <c r="AV30" i="1"/>
  <c r="AV25" i="1"/>
  <c r="AU30" i="1"/>
  <c r="AU24" i="1"/>
  <c r="AV22" i="1"/>
  <c r="AU8" i="1"/>
  <c r="AU71" i="1"/>
  <c r="AV80" i="1"/>
  <c r="AV81" i="1"/>
  <c r="AU84" i="1"/>
  <c r="AV82" i="1"/>
  <c r="AV85" i="1"/>
  <c r="AU85" i="1"/>
  <c r="AU80" i="1"/>
  <c r="AV46" i="1"/>
  <c r="AU43" i="1"/>
  <c r="AV44" i="1"/>
  <c r="AV49" i="1"/>
  <c r="AU49" i="1"/>
  <c r="AV45" i="1"/>
  <c r="AV48" i="1"/>
  <c r="AU48" i="1"/>
  <c r="AU47" i="1"/>
  <c r="AU45" i="1"/>
  <c r="AV36" i="1"/>
  <c r="AV39" i="1"/>
  <c r="AV24" i="1"/>
  <c r="AU25" i="1"/>
  <c r="AU39" i="1"/>
  <c r="AV26" i="1"/>
  <c r="AV27" i="1"/>
  <c r="AU27" i="1"/>
  <c r="AU28" i="1"/>
  <c r="AV23" i="1"/>
  <c r="AV69" i="1"/>
  <c r="AU22" i="1"/>
  <c r="AV43" i="1"/>
  <c r="AV84" i="1"/>
  <c r="AV47" i="1"/>
  <c r="AU33" i="1"/>
  <c r="AU44" i="1"/>
  <c r="AU46" i="1"/>
  <c r="AV71" i="1"/>
  <c r="AV10" i="1"/>
  <c r="AV72" i="1"/>
  <c r="AU72" i="1"/>
  <c r="AU29" i="1"/>
  <c r="AV35" i="1"/>
  <c r="AU35" i="1"/>
  <c r="AU26" i="1"/>
  <c r="AU23" i="1"/>
  <c r="AV83" i="1"/>
  <c r="AU83" i="1"/>
  <c r="AV21" i="1"/>
  <c r="AU21" i="1"/>
  <c r="AU5" i="1"/>
  <c r="AV20" i="1"/>
  <c r="AU20" i="1"/>
  <c r="AV5" i="1"/>
  <c r="M115" i="1" a="1"/>
  <c r="M115" i="1" s="1"/>
  <c r="P115" i="1" a="1"/>
  <c r="P115" i="1" s="1"/>
  <c r="AN72" i="1"/>
  <c r="AO72" i="1" s="1"/>
  <c r="AN63" i="1"/>
  <c r="AO63" i="1" s="1"/>
  <c r="AN61" i="1"/>
  <c r="AO61" i="1" s="1"/>
  <c r="AN59" i="1"/>
  <c r="AO59" i="1" s="1"/>
  <c r="AN57" i="1"/>
  <c r="AO57" i="1" s="1"/>
  <c r="AN55" i="1"/>
  <c r="AO55" i="1" s="1"/>
  <c r="AN53" i="1"/>
  <c r="AO53" i="1" s="1"/>
  <c r="AN51" i="1"/>
  <c r="AO51" i="1" s="1"/>
  <c r="AN49" i="1"/>
  <c r="AO49" i="1" s="1"/>
  <c r="AN47" i="1"/>
  <c r="AO47" i="1" s="1"/>
  <c r="AN45" i="1"/>
  <c r="AO45" i="1" s="1"/>
  <c r="AN43" i="1"/>
  <c r="AO43" i="1" s="1"/>
  <c r="AN39" i="1"/>
  <c r="AO39" i="1" s="1"/>
  <c r="AN37" i="1"/>
  <c r="AO37" i="1" s="1"/>
  <c r="AN35" i="1"/>
  <c r="AO35" i="1" s="1"/>
  <c r="AN33" i="1"/>
  <c r="AO33" i="1" s="1"/>
  <c r="AN31" i="1"/>
  <c r="AO31" i="1" s="1"/>
  <c r="AN29" i="1"/>
  <c r="AO29" i="1" s="1"/>
  <c r="AN27" i="1"/>
  <c r="AO27" i="1" s="1"/>
  <c r="AN25" i="1"/>
  <c r="AO25" i="1" s="1"/>
  <c r="AN23" i="1"/>
  <c r="AO23" i="1" s="1"/>
  <c r="AN21" i="1"/>
  <c r="AO21" i="1" s="1"/>
  <c r="AN17" i="1"/>
  <c r="AO17" i="1" s="1"/>
  <c r="AN15" i="1"/>
  <c r="AO15" i="1" s="1"/>
  <c r="AN13" i="1"/>
  <c r="AO13" i="1" s="1"/>
  <c r="AN6" i="1"/>
  <c r="AO6" i="1" s="1"/>
  <c r="AN74" i="1"/>
  <c r="AO74" i="1" s="1"/>
  <c r="AN11" i="1"/>
  <c r="AO11" i="1" s="1"/>
  <c r="AN9" i="1"/>
  <c r="AO9" i="1" s="1"/>
  <c r="AN7" i="1"/>
  <c r="AO7" i="1" s="1"/>
  <c r="AN80" i="1"/>
  <c r="AO80" i="1" s="1"/>
  <c r="AN76" i="1"/>
  <c r="AO76" i="1" s="1"/>
  <c r="AN86" i="1"/>
  <c r="AO86" i="1" s="1"/>
  <c r="AN84" i="1"/>
  <c r="AO84" i="1" s="1"/>
  <c r="AN82" i="1"/>
  <c r="AO82" i="1" s="1"/>
  <c r="AN75" i="1"/>
  <c r="AO75" i="1" s="1"/>
  <c r="AN14" i="1"/>
  <c r="AO14" i="1" s="1"/>
  <c r="AN10" i="1"/>
  <c r="AO10" i="1" s="1"/>
  <c r="AN73" i="1"/>
  <c r="AO73" i="1" s="1"/>
  <c r="AN71" i="1"/>
  <c r="AO71" i="1" s="1"/>
  <c r="AN62" i="1"/>
  <c r="AO62" i="1" s="1"/>
  <c r="AN60" i="1"/>
  <c r="AO60" i="1" s="1"/>
  <c r="AN58" i="1"/>
  <c r="AO58" i="1" s="1"/>
  <c r="AN56" i="1"/>
  <c r="AO56" i="1" s="1"/>
  <c r="AN54" i="1"/>
  <c r="AO54" i="1" s="1"/>
  <c r="AN52" i="1"/>
  <c r="AO52" i="1" s="1"/>
  <c r="AN50" i="1"/>
  <c r="AO50" i="1" s="1"/>
  <c r="AN48" i="1"/>
  <c r="AO48" i="1" s="1"/>
  <c r="AN46" i="1"/>
  <c r="AO46" i="1" s="1"/>
  <c r="AN44" i="1"/>
  <c r="AO44" i="1" s="1"/>
  <c r="AN40" i="1"/>
  <c r="AO40" i="1" s="1"/>
  <c r="AN38" i="1"/>
  <c r="AO38" i="1" s="1"/>
  <c r="AN36" i="1"/>
  <c r="AO36" i="1" s="1"/>
  <c r="AN34" i="1"/>
  <c r="AO34" i="1" s="1"/>
  <c r="AN32" i="1"/>
  <c r="AO32" i="1" s="1"/>
  <c r="AN30" i="1"/>
  <c r="AO30" i="1" s="1"/>
  <c r="AN28" i="1"/>
  <c r="AO28" i="1" s="1"/>
  <c r="AN26" i="1"/>
  <c r="AO26" i="1" s="1"/>
  <c r="AN24" i="1"/>
  <c r="AO24" i="1" s="1"/>
  <c r="AN22" i="1"/>
  <c r="AO22" i="1" s="1"/>
  <c r="AN20" i="1"/>
  <c r="AO20" i="1" s="1"/>
  <c r="AN16" i="1"/>
  <c r="AO16" i="1" s="1"/>
  <c r="AN12" i="1"/>
  <c r="AO12" i="1" s="1"/>
  <c r="AN8" i="1"/>
  <c r="AO8" i="1" s="1"/>
  <c r="AN5" i="1"/>
  <c r="AO5" i="1" s="1"/>
  <c r="AN85" i="1"/>
  <c r="AO85" i="1" s="1"/>
  <c r="AN83" i="1"/>
  <c r="AO83" i="1" s="1"/>
  <c r="AN81" i="1"/>
  <c r="AO81" i="1" s="1"/>
  <c r="AN69" i="1"/>
  <c r="AO69" i="1" s="1"/>
  <c r="AU81" i="1"/>
  <c r="AU69" i="1"/>
  <c r="AV67" i="1"/>
  <c r="AN67" i="1"/>
  <c r="AO67" i="1" s="1"/>
  <c r="AV79" i="1"/>
  <c r="AN79" i="1"/>
  <c r="AO79" i="1" s="1"/>
  <c r="AU79" i="1"/>
  <c r="U9" i="4" a="1"/>
  <c r="U9" i="4" s="1"/>
  <c r="AV68" i="1"/>
  <c r="AN66" i="1"/>
  <c r="AU68" i="1"/>
  <c r="AN68" i="1"/>
  <c r="AO68" i="1" s="1"/>
  <c r="P9" i="4" a="1"/>
  <c r="P23" i="4" a="1"/>
  <c r="AU66" i="1"/>
  <c r="AV66" i="1"/>
  <c r="Y115" i="1" a="1"/>
  <c r="Y115" i="1" s="1"/>
  <c r="V115" i="1" a="1"/>
  <c r="V115" i="1" s="1"/>
  <c r="S115" i="1" a="1"/>
  <c r="S115" i="1" s="1"/>
  <c r="Q28" i="4" l="1"/>
  <c r="Q29" i="4"/>
  <c r="O29" i="4"/>
  <c r="R29" i="4"/>
  <c r="O28" i="4"/>
  <c r="O27" i="4"/>
  <c r="S24" i="4"/>
  <c r="R25" i="4"/>
  <c r="O26" i="4"/>
  <c r="S25" i="4"/>
  <c r="R26" i="4"/>
  <c r="O25" i="4"/>
  <c r="S28" i="4"/>
  <c r="S26" i="4"/>
  <c r="R27" i="4"/>
  <c r="S27" i="4"/>
  <c r="R28" i="4"/>
  <c r="Q26" i="4"/>
  <c r="Q27" i="4"/>
  <c r="S29" i="4"/>
  <c r="Q25" i="4"/>
  <c r="S12" i="4"/>
  <c r="Q13" i="4"/>
  <c r="O14" i="4"/>
  <c r="S13" i="4"/>
  <c r="R12" i="4"/>
  <c r="O13" i="4"/>
  <c r="S14" i="4"/>
  <c r="R13" i="4"/>
  <c r="S15" i="4"/>
  <c r="R14" i="4"/>
  <c r="Q14" i="4"/>
  <c r="R15" i="4"/>
  <c r="Q12" i="4"/>
  <c r="O12" i="4"/>
  <c r="Q15" i="4"/>
  <c r="O15" i="4"/>
  <c r="AC43" i="1"/>
  <c r="AC5" i="1"/>
  <c r="AC20" i="1"/>
  <c r="AC79" i="1"/>
  <c r="S10" i="4"/>
  <c r="S11" i="4"/>
  <c r="B23" i="4" a="1"/>
  <c r="R11" i="4"/>
  <c r="Q11" i="4"/>
  <c r="O11" i="4"/>
  <c r="B37" i="4" a="1"/>
  <c r="B51" i="4" a="1"/>
  <c r="J23" i="4" a="1"/>
  <c r="J23" i="4" s="1"/>
  <c r="L23" i="4" s="1"/>
  <c r="F23" i="4" a="1"/>
  <c r="B65" i="4" a="1"/>
  <c r="B65" i="4" s="1"/>
  <c r="C65" i="4" s="1"/>
  <c r="F9" i="4" a="1"/>
  <c r="F37" i="4" a="1"/>
  <c r="AO66" i="1"/>
  <c r="AC66" i="1" s="1"/>
  <c r="F65" i="4" a="1"/>
  <c r="F65" i="4" s="1"/>
  <c r="I65" i="4" s="1"/>
  <c r="P9" i="4"/>
  <c r="Q10" i="4"/>
  <c r="R10" i="4"/>
  <c r="O10" i="4"/>
  <c r="P23" i="4"/>
  <c r="S23" i="4" s="1"/>
  <c r="O24" i="4"/>
  <c r="Q24" i="4"/>
  <c r="R24" i="4"/>
  <c r="F51" i="4" a="1"/>
  <c r="B9" i="4" a="1"/>
  <c r="J37" i="4" a="1"/>
  <c r="J37" i="4" s="1"/>
  <c r="K37" i="4" s="1"/>
  <c r="J9" i="4" a="1"/>
  <c r="J51" i="4" a="1"/>
  <c r="J51" i="4" s="1"/>
  <c r="K51" i="4" s="1"/>
  <c r="O37" i="4" a="1"/>
  <c r="J65" i="4" a="1"/>
  <c r="J65" i="4" s="1"/>
  <c r="K65" i="4" s="1"/>
  <c r="P40" i="4" l="1"/>
  <c r="Q40" i="4" s="1"/>
  <c r="S40" i="4"/>
  <c r="R40" i="4"/>
  <c r="P39" i="4"/>
  <c r="Q39" i="4" s="1"/>
  <c r="R39" i="4"/>
  <c r="S39" i="4"/>
  <c r="E44" i="4"/>
  <c r="C44" i="4"/>
  <c r="D44" i="4"/>
  <c r="J9" i="4"/>
  <c r="L9" i="4" s="1"/>
  <c r="M10" i="4"/>
  <c r="M11" i="4"/>
  <c r="L10" i="4"/>
  <c r="L11" i="4"/>
  <c r="K10" i="4"/>
  <c r="K11" i="4"/>
  <c r="H57" i="4"/>
  <c r="I57" i="4"/>
  <c r="G57" i="4"/>
  <c r="E29" i="4"/>
  <c r="C29" i="4"/>
  <c r="D29" i="4"/>
  <c r="G14" i="4"/>
  <c r="H14" i="4"/>
  <c r="I14" i="4"/>
  <c r="E15" i="4"/>
  <c r="D15" i="4"/>
  <c r="C15" i="4"/>
  <c r="I52" i="4"/>
  <c r="H56" i="4"/>
  <c r="I56" i="4"/>
  <c r="G56" i="4"/>
  <c r="E38" i="4"/>
  <c r="E43" i="4"/>
  <c r="C43" i="4"/>
  <c r="D43" i="4"/>
  <c r="B51" i="4"/>
  <c r="D51" i="4" s="1"/>
  <c r="D57" i="4"/>
  <c r="C57" i="4"/>
  <c r="E57" i="4"/>
  <c r="H38" i="4"/>
  <c r="G43" i="4"/>
  <c r="I43" i="4"/>
  <c r="H43" i="4"/>
  <c r="H24" i="4"/>
  <c r="I28" i="4"/>
  <c r="G28" i="4"/>
  <c r="H28" i="4"/>
  <c r="I10" i="4"/>
  <c r="I13" i="4"/>
  <c r="G13" i="4"/>
  <c r="H13" i="4"/>
  <c r="C25" i="4"/>
  <c r="E28" i="4"/>
  <c r="C28" i="4"/>
  <c r="D28" i="4"/>
  <c r="E24" i="4"/>
  <c r="D24" i="4"/>
  <c r="E25" i="4"/>
  <c r="G12" i="4"/>
  <c r="D27" i="4"/>
  <c r="C24" i="4"/>
  <c r="I12" i="4"/>
  <c r="C27" i="4"/>
  <c r="G10" i="4"/>
  <c r="E27" i="4"/>
  <c r="H12" i="4"/>
  <c r="I40" i="4"/>
  <c r="B23" i="4"/>
  <c r="D23" i="4" s="1"/>
  <c r="E65" i="4"/>
  <c r="G42" i="4"/>
  <c r="H42" i="4"/>
  <c r="D10" i="4"/>
  <c r="D14" i="4"/>
  <c r="E14" i="4"/>
  <c r="C14" i="4"/>
  <c r="C13" i="4"/>
  <c r="C38" i="4"/>
  <c r="D13" i="4"/>
  <c r="E13" i="4"/>
  <c r="E39" i="4"/>
  <c r="C39" i="4"/>
  <c r="D38" i="4"/>
  <c r="D40" i="4"/>
  <c r="E41" i="4"/>
  <c r="O9" i="4"/>
  <c r="S9" i="4"/>
  <c r="O37" i="4"/>
  <c r="R37" i="4" s="1"/>
  <c r="S38" i="4"/>
  <c r="P38" i="4"/>
  <c r="Q38" i="4" s="1"/>
  <c r="R38" i="4"/>
  <c r="H65" i="4"/>
  <c r="C26" i="4"/>
  <c r="C56" i="4"/>
  <c r="E42" i="4"/>
  <c r="D25" i="4"/>
  <c r="H10" i="4"/>
  <c r="E26" i="4"/>
  <c r="D26" i="4"/>
  <c r="D52" i="4"/>
  <c r="H39" i="4"/>
  <c r="C41" i="4"/>
  <c r="B37" i="4"/>
  <c r="E37" i="4" s="1"/>
  <c r="D39" i="4"/>
  <c r="G25" i="4"/>
  <c r="I26" i="4"/>
  <c r="E52" i="4"/>
  <c r="H27" i="4"/>
  <c r="G41" i="4"/>
  <c r="F9" i="4"/>
  <c r="I9" i="4" s="1"/>
  <c r="D54" i="4"/>
  <c r="D53" i="4"/>
  <c r="H26" i="4"/>
  <c r="G11" i="4"/>
  <c r="G38" i="4"/>
  <c r="H41" i="4"/>
  <c r="H25" i="4"/>
  <c r="E55" i="4"/>
  <c r="G39" i="4"/>
  <c r="M23" i="4"/>
  <c r="E54" i="4"/>
  <c r="D55" i="4"/>
  <c r="C55" i="4"/>
  <c r="G24" i="4"/>
  <c r="K23" i="4"/>
  <c r="J32" i="4" s="1"/>
  <c r="G55" i="4"/>
  <c r="C42" i="4"/>
  <c r="I39" i="4"/>
  <c r="I25" i="4"/>
  <c r="I24" i="4"/>
  <c r="C53" i="4"/>
  <c r="E40" i="4"/>
  <c r="G27" i="4"/>
  <c r="D56" i="4"/>
  <c r="C54" i="4"/>
  <c r="E53" i="4"/>
  <c r="C52" i="4"/>
  <c r="D42" i="4"/>
  <c r="G26" i="4"/>
  <c r="I42" i="4"/>
  <c r="I27" i="4"/>
  <c r="D65" i="4"/>
  <c r="B74" i="4" s="1"/>
  <c r="H11" i="4"/>
  <c r="I11" i="4"/>
  <c r="F37" i="4"/>
  <c r="G37" i="4" s="1"/>
  <c r="H40" i="4"/>
  <c r="E56" i="4"/>
  <c r="G65" i="4"/>
  <c r="I38" i="4"/>
  <c r="C40" i="4"/>
  <c r="D41" i="4"/>
  <c r="I41" i="4"/>
  <c r="G40" i="4"/>
  <c r="F23" i="4"/>
  <c r="R9" i="4"/>
  <c r="Q9" i="4"/>
  <c r="B9" i="4"/>
  <c r="C9" i="4" s="1"/>
  <c r="L37" i="4"/>
  <c r="J46" i="4" s="1"/>
  <c r="G53" i="4"/>
  <c r="O23" i="4"/>
  <c r="R23" i="4"/>
  <c r="E10" i="4"/>
  <c r="C10" i="4"/>
  <c r="M51" i="4"/>
  <c r="Q23" i="4"/>
  <c r="L51" i="4"/>
  <c r="J60" i="4" s="1"/>
  <c r="C11" i="4"/>
  <c r="D11" i="4"/>
  <c r="M65" i="4"/>
  <c r="C12" i="4"/>
  <c r="E11" i="4"/>
  <c r="L65" i="4"/>
  <c r="J74" i="4" s="1"/>
  <c r="M37" i="4"/>
  <c r="E12" i="4"/>
  <c r="I54" i="4"/>
  <c r="F51" i="4"/>
  <c r="H55" i="4"/>
  <c r="H53" i="4"/>
  <c r="G54" i="4"/>
  <c r="G52" i="4"/>
  <c r="I55" i="4"/>
  <c r="H54" i="4"/>
  <c r="I53" i="4"/>
  <c r="D12" i="4"/>
  <c r="H52" i="4"/>
  <c r="M9" i="4" l="1"/>
  <c r="K9" i="4"/>
  <c r="J18" i="4" s="1"/>
  <c r="C51" i="4"/>
  <c r="B60" i="4" s="1"/>
  <c r="E23" i="4"/>
  <c r="E51" i="4"/>
  <c r="C23" i="4"/>
  <c r="B32" i="4" s="1"/>
  <c r="P37" i="4"/>
  <c r="Q37" i="4" s="1"/>
  <c r="O74" i="4" s="1"/>
  <c r="S37" i="4"/>
  <c r="F74" i="4"/>
  <c r="H37" i="4"/>
  <c r="F46" i="4" s="1"/>
  <c r="G9" i="4"/>
  <c r="H9" i="4"/>
  <c r="D37" i="4"/>
  <c r="C37" i="4"/>
  <c r="O18" i="4"/>
  <c r="G23" i="4"/>
  <c r="H23" i="4"/>
  <c r="I23" i="4"/>
  <c r="I37" i="4"/>
  <c r="D9" i="4"/>
  <c r="B18" i="4" s="1"/>
  <c r="E9" i="4"/>
  <c r="H51" i="4"/>
  <c r="I51" i="4"/>
  <c r="G51" i="4"/>
  <c r="O32" i="4"/>
  <c r="F18" i="4" l="1"/>
  <c r="F60" i="4"/>
  <c r="B46" i="4"/>
  <c r="F32" i="4"/>
  <c r="B2" i="4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<sst xmlns="http://schemas.openxmlformats.org/spreadsheetml/2006/main" count="549" uniqueCount="181">
  <si>
    <t>ID</t>
  </si>
  <si>
    <t>Title</t>
  </si>
  <si>
    <t>CR</t>
  </si>
  <si>
    <t>Required Courses</t>
  </si>
  <si>
    <t>-</t>
  </si>
  <si>
    <t>Regularly Offered</t>
  </si>
  <si>
    <t>Special</t>
  </si>
  <si>
    <t>Pre-Requisites</t>
  </si>
  <si>
    <t>Co-Requisites</t>
  </si>
  <si>
    <t>F</t>
  </si>
  <si>
    <t>S</t>
  </si>
  <si>
    <t>R</t>
  </si>
  <si>
    <t>C</t>
  </si>
  <si>
    <t>IP</t>
  </si>
  <si>
    <t>Planning Options</t>
  </si>
  <si>
    <t>Recommended</t>
  </si>
  <si>
    <t>In Progress</t>
  </si>
  <si>
    <t>Complete</t>
  </si>
  <si>
    <t>Advisor</t>
  </si>
  <si>
    <t>Dr. Grissom</t>
  </si>
  <si>
    <t>Start Year</t>
  </si>
  <si>
    <t>Grade</t>
  </si>
  <si>
    <t>TR/
AP</t>
  </si>
  <si>
    <t>Col C</t>
  </si>
  <si>
    <t>Col IP</t>
  </si>
  <si>
    <t>Col R</t>
  </si>
  <si>
    <t>Math/Physics</t>
  </si>
  <si>
    <t>Math</t>
  </si>
  <si>
    <t>Units Planned</t>
  </si>
  <si>
    <t>of</t>
  </si>
  <si>
    <t>Expected Grad Year</t>
  </si>
  <si>
    <t>Expected Grad Semester</t>
  </si>
  <si>
    <t>Spring</t>
  </si>
  <si>
    <t>COMPUTER SCIENCE</t>
  </si>
  <si>
    <t>MATH &amp;  SCIENCE</t>
  </si>
  <si>
    <t>Date</t>
  </si>
  <si>
    <t>Notes</t>
  </si>
  <si>
    <t>Backend Processing</t>
  </si>
  <si>
    <t>Courses/Semester:</t>
  </si>
  <si>
    <t>NOT Offered NOW</t>
  </si>
  <si>
    <t>Science Electives (4 units required)</t>
  </si>
  <si>
    <t>Science</t>
  </si>
  <si>
    <t>Required General Elective Courses</t>
  </si>
  <si>
    <t>GEs</t>
  </si>
  <si>
    <t>Required Math</t>
  </si>
  <si>
    <t>Required Science</t>
  </si>
  <si>
    <t>Data Structures &amp; Analysis</t>
  </si>
  <si>
    <t>Computer Architecture</t>
  </si>
  <si>
    <t>Units/Semester:</t>
  </si>
  <si>
    <t>Col W</t>
  </si>
  <si>
    <t>Col F</t>
  </si>
  <si>
    <t>W</t>
  </si>
  <si>
    <t>Withdrew</t>
  </si>
  <si>
    <t>Failed</t>
  </si>
  <si>
    <t>Col Non-W/F</t>
  </si>
  <si>
    <t># C's</t>
  </si>
  <si>
    <t>#W's</t>
  </si>
  <si>
    <t>#F's</t>
  </si>
  <si>
    <t>#IP's</t>
  </si>
  <si>
    <t>#R's</t>
  </si>
  <si>
    <t># Goods</t>
  </si>
  <si>
    <t># Bads</t>
  </si>
  <si>
    <t>#</t>
  </si>
  <si>
    <t>Course</t>
  </si>
  <si>
    <t>U</t>
  </si>
  <si>
    <t>Student ID</t>
  </si>
  <si>
    <t>Student FIRST Name</t>
  </si>
  <si>
    <t>Student LAST Name</t>
  </si>
  <si>
    <t>Semester</t>
  </si>
  <si>
    <t>Withdrawls</t>
  </si>
  <si>
    <t>Failures</t>
  </si>
  <si>
    <t>Transfers</t>
  </si>
  <si>
    <t>Total Units Needed</t>
  </si>
  <si>
    <t>Semester Ranges</t>
  </si>
  <si>
    <t>SPRING</t>
  </si>
  <si>
    <t>SUMMER</t>
  </si>
  <si>
    <t>FALL</t>
  </si>
  <si>
    <t>Start</t>
  </si>
  <si>
    <t>Stop</t>
  </si>
  <si>
    <t>Advising</t>
  </si>
  <si>
    <t>Active</t>
  </si>
  <si>
    <t>Month</t>
  </si>
  <si>
    <t>Year</t>
  </si>
  <si>
    <t>Day</t>
  </si>
  <si>
    <t>Today:</t>
  </si>
  <si>
    <t>Program</t>
  </si>
  <si>
    <t>Min Units</t>
  </si>
  <si>
    <t>Program Requirement</t>
  </si>
  <si>
    <t>Status</t>
  </si>
  <si>
    <t>Date Complete</t>
  </si>
  <si>
    <t>Note</t>
  </si>
  <si>
    <t>Cross Curtural Experience</t>
  </si>
  <si>
    <t>Internship</t>
  </si>
  <si>
    <t>Program Assesment</t>
  </si>
  <si>
    <t>D. Grissom</t>
  </si>
  <si>
    <t>A. Corso</t>
  </si>
  <si>
    <t>M. Kim</t>
  </si>
  <si>
    <t>B. Sanders</t>
  </si>
  <si>
    <t>L. Clement</t>
  </si>
  <si>
    <t>CS (Major) w/ Security Conc.</t>
  </si>
  <si>
    <t>CS (Major) w/ ML Conc.</t>
  </si>
  <si>
    <t>CS (Major)</t>
  </si>
  <si>
    <t>SE (Major)</t>
  </si>
  <si>
    <t>Exit Interview/Survey</t>
  </si>
  <si>
    <t>GE Category</t>
  </si>
  <si>
    <t>GE: Biblical &amp; Theological Core</t>
  </si>
  <si>
    <t>GE: Creative World</t>
  </si>
  <si>
    <t>GE: Personal World (Technology)</t>
  </si>
  <si>
    <t>GE: Social World (Behavioral Science)</t>
  </si>
  <si>
    <t>GE: Foundations-Composition</t>
  </si>
  <si>
    <t>GE: Foundations-Intermediate Composition</t>
  </si>
  <si>
    <t>GE: Civic World</t>
  </si>
  <si>
    <t>GE: Foudations-Math</t>
  </si>
  <si>
    <t>GE: Natural World</t>
  </si>
  <si>
    <t>Network Traffic Analysis (CS Conc.)</t>
  </si>
  <si>
    <t>Cyber Security Incident Response &amp; Recovery (CS Conc.)</t>
  </si>
  <si>
    <t>Secure System Principles (CS Conc.)</t>
  </si>
  <si>
    <t>Machine  &amp; Deep Learning (AI/ML Conc.)</t>
  </si>
  <si>
    <t>Datamining (AI/ML Conc.)</t>
  </si>
  <si>
    <t>Natural Language Processing (NLP) (AI/ML Conc.)</t>
  </si>
  <si>
    <t>Cloud Computing &amp; App Development</t>
  </si>
  <si>
    <t>Mathematical Statistics I</t>
  </si>
  <si>
    <t>CS Major</t>
  </si>
  <si>
    <t>w/ Cybersecurity Concentration</t>
  </si>
  <si>
    <t>GE: Social World</t>
  </si>
  <si>
    <t>PRs: One or the other, not both.</t>
  </si>
  <si>
    <t>Math Electives (0 units required)</t>
  </si>
  <si>
    <t>2024 - 2025</t>
  </si>
  <si>
    <t>2025 - 2026</t>
  </si>
  <si>
    <t>2026 - 2027</t>
  </si>
  <si>
    <t>2027 - 2028</t>
  </si>
  <si>
    <t>2028 - 2029</t>
  </si>
  <si>
    <t>ENGR 1210</t>
  </si>
  <si>
    <t>ENGR 2220</t>
  </si>
  <si>
    <t>ENGR 2270</t>
  </si>
  <si>
    <t>ENGR 2260</t>
  </si>
  <si>
    <t>ENGR 3290</t>
  </si>
  <si>
    <t>CSCI 3230</t>
  </si>
  <si>
    <t>ENGR 2250</t>
  </si>
  <si>
    <t>CSCI 4220</t>
  </si>
  <si>
    <t>CSCI 4230</t>
  </si>
  <si>
    <t>CSCI 4240</t>
  </si>
  <si>
    <t>CSCI 4310</t>
  </si>
  <si>
    <t>CSCI 4320</t>
  </si>
  <si>
    <t>CSCI 4330</t>
  </si>
  <si>
    <t>CSCI 4340</t>
  </si>
  <si>
    <t>STAT 3100</t>
  </si>
  <si>
    <t>MATH 2450</t>
  </si>
  <si>
    <t>Required Core Courses</t>
  </si>
  <si>
    <t>CSCI 5010</t>
  </si>
  <si>
    <t>CSCI 5020</t>
  </si>
  <si>
    <t>CSCI 5030</t>
  </si>
  <si>
    <t>CSCI 5040</t>
  </si>
  <si>
    <t>CSCI 5900</t>
  </si>
  <si>
    <t>CSCI 5910</t>
  </si>
  <si>
    <t>Pre-Requisite Courses</t>
  </si>
  <si>
    <t>CSCI 5300</t>
  </si>
  <si>
    <t>CSCI 5400</t>
  </si>
  <si>
    <t>CSCI 5500</t>
  </si>
  <si>
    <t>STAT 3600</t>
  </si>
  <si>
    <t>Data Visualization (Even Springs)</t>
  </si>
  <si>
    <t>STAT 3620</t>
  </si>
  <si>
    <t>Advanced Statistical Computing (Even Falls)</t>
  </si>
  <si>
    <t>STAT 2050</t>
  </si>
  <si>
    <t>ENGR 1200</t>
  </si>
  <si>
    <t>STAT 3640</t>
  </si>
  <si>
    <t>Applied Statistical Methodology (Odd Springs)</t>
  </si>
  <si>
    <t>CSCI 5600</t>
  </si>
  <si>
    <t>Cryptography (First offering 26-27)</t>
  </si>
  <si>
    <t>Parallel Computing on GPUs (First offering 26-27)</t>
  </si>
  <si>
    <t>Computer Vision (First offering 26-27)</t>
  </si>
  <si>
    <t>Big Data (First offering 26-27)</t>
  </si>
  <si>
    <t>Breadth/Depth Courses (12 units required)</t>
  </si>
  <si>
    <t>Advanced Academic Research</t>
  </si>
  <si>
    <t>ESLG0940</t>
  </si>
  <si>
    <t>Software Engineering (First offering 26-27)</t>
  </si>
  <si>
    <t>Advanced Computer Networks (First offering 26-27)</t>
  </si>
  <si>
    <t>Advanced Algorithms (First offering 26-27)</t>
  </si>
  <si>
    <t>Advanced Computer Architecture (First offering 26-27)</t>
  </si>
  <si>
    <t>Research, Project Methodology &amp; Design (First offering 26-27)</t>
  </si>
  <si>
    <t>Capstone Project (First offering 26-27)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</si>
</sst>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F800]dddd\,\ mmmm\ dd\,\ yyyy"/>
  </numFmts>
  <fonts count="19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0"/>
      <name val="Wingdings"/>
      <charset val="2"/>
    </font>
    <font>
      <sz val="11"/>
      <color theme="0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24"/>
      <color theme="0"/>
      <name val="Calibri"/>
      <family val="2"/>
      <scheme val="minor"/>
    </font>
    <font>
      <sz val="1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11"/>
      <color rgb="FF00B050"/>
      <name val="Calibri"/>
      <family val="2"/>
      <scheme val="minor"/>
    </font>
    <font>
      <sz val="11"/>
      <color theme="5"/>
      <name val="Calibri"/>
      <family val="2"/>
      <scheme val="minor"/>
    </font>
    <font>
      <sz val="11"/>
      <color theme="9"/>
      <name val="Calibri"/>
      <family val="2"/>
      <scheme val="minor"/>
    </font>
    <font>
      <b/>
      <i/>
      <sz val="11"/>
      <color theme="5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2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70C0"/>
      <name val="Calibri"/>
      <family val="2"/>
      <scheme val="minor"/>
    </font>
    <font>
      <b/>
      <sz val="11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0"/>
        <bgColor indexed="64"/>
      </patternFill>
    </fill>
    <fill>
      <patternFill patternType="lightTrellis">
        <fgColor theme="0" tint="-0.34998626667073579"/>
        <bgColor theme="0"/>
      </patternFill>
    </fill>
    <fill>
      <patternFill patternType="lightTrellis">
        <fgColor theme="0" tint="-0.34998626667073579"/>
        <bgColor theme="0" tint="-0.14999847407452621"/>
      </patternFill>
    </fill>
    <fill>
      <patternFill patternType="solid">
        <fgColor theme="1" tint="0.249977111117893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</fills>
  <borders count="69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/>
      <right style="hair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62">
    <xf numFmtId="0" fontId="0" fillId="0" borderId="0" xfId="0"/>
    <xf numFmtId="0" fontId="0" fillId="0" borderId="30" xfId="0" applyBorder="1"/>
    <xf numFmtId="0" fontId="0" fillId="0" borderId="30" xfId="0" applyBorder="1" applyAlignment="1">
      <alignment horizontal="left"/>
    </xf>
    <xf numFmtId="0" fontId="0" fillId="3" borderId="31" xfId="0" applyFill="1" applyBorder="1"/>
    <xf numFmtId="0" fontId="1" fillId="4" borderId="4" xfId="0" applyFont="1" applyFill="1" applyBorder="1" applyAlignment="1">
      <alignment horizontal="center" vertical="center"/>
    </xf>
    <xf numFmtId="0" fontId="0" fillId="0" borderId="30" xfId="0" applyBorder="1" applyAlignment="1">
      <alignment horizontal="center"/>
    </xf>
    <xf numFmtId="0" fontId="5" fillId="3" borderId="8" xfId="0" applyFont="1" applyFill="1" applyBorder="1"/>
    <xf numFmtId="164" fontId="0" fillId="0" borderId="30" xfId="0" applyNumberFormat="1" applyBorder="1" applyAlignment="1">
      <alignment horizontal="center"/>
    </xf>
    <xf numFmtId="164" fontId="0" fillId="0" borderId="18" xfId="0" applyNumberFormat="1" applyBorder="1" applyAlignment="1">
      <alignment horizontal="center"/>
    </xf>
    <xf numFmtId="0" fontId="0" fillId="5" borderId="1" xfId="0" applyFill="1" applyBorder="1" applyProtection="1">
      <protection locked="0"/>
    </xf>
    <xf numFmtId="0" fontId="0" fillId="5" borderId="0" xfId="0" applyFill="1" applyProtection="1">
      <protection locked="0"/>
    </xf>
    <xf numFmtId="0" fontId="0" fillId="5" borderId="2" xfId="0" applyFill="1" applyBorder="1" applyAlignment="1" applyProtection="1">
      <alignment horizontal="center" vertical="center"/>
      <protection locked="0"/>
    </xf>
    <xf numFmtId="0" fontId="0" fillId="5" borderId="1" xfId="0" applyFill="1" applyBorder="1" applyAlignment="1" applyProtection="1">
      <alignment horizontal="center" vertical="center"/>
      <protection locked="0"/>
    </xf>
    <xf numFmtId="0" fontId="0" fillId="5" borderId="0" xfId="0" applyFill="1" applyAlignment="1" applyProtection="1">
      <alignment horizontal="center" vertical="center"/>
      <protection locked="0"/>
    </xf>
    <xf numFmtId="0" fontId="0" fillId="5" borderId="6" xfId="0" applyFill="1" applyBorder="1" applyAlignment="1" applyProtection="1">
      <alignment horizontal="center" vertical="center"/>
      <protection locked="0"/>
    </xf>
    <xf numFmtId="0" fontId="0" fillId="5" borderId="19" xfId="0" applyFill="1" applyBorder="1" applyAlignment="1" applyProtection="1">
      <alignment horizontal="center" vertical="center"/>
      <protection locked="0"/>
    </xf>
    <xf numFmtId="0" fontId="0" fillId="5" borderId="21" xfId="0" applyFill="1" applyBorder="1" applyAlignment="1" applyProtection="1">
      <alignment horizontal="center" vertical="center"/>
      <protection locked="0"/>
    </xf>
    <xf numFmtId="0" fontId="0" fillId="6" borderId="7" xfId="0" applyFill="1" applyBorder="1" applyAlignment="1" applyProtection="1">
      <alignment horizontal="center" vertical="center"/>
      <protection locked="0"/>
    </xf>
    <xf numFmtId="0" fontId="0" fillId="6" borderId="0" xfId="0" applyFill="1" applyAlignment="1" applyProtection="1">
      <alignment horizontal="center" vertical="center"/>
      <protection locked="0"/>
    </xf>
    <xf numFmtId="0" fontId="0" fillId="5" borderId="4" xfId="0" applyFill="1" applyBorder="1" applyAlignment="1" applyProtection="1">
      <alignment horizontal="center" vertical="center"/>
      <protection locked="0"/>
    </xf>
    <xf numFmtId="0" fontId="0" fillId="2" borderId="1" xfId="0" applyFill="1" applyBorder="1" applyProtection="1">
      <protection locked="0"/>
    </xf>
    <xf numFmtId="0" fontId="0" fillId="2" borderId="0" xfId="0" applyFill="1" applyProtection="1">
      <protection locked="0"/>
    </xf>
    <xf numFmtId="0" fontId="0" fillId="2" borderId="2" xfId="0" applyFill="1" applyBorder="1" applyAlignment="1" applyProtection="1">
      <alignment horizontal="center" vertical="center"/>
      <protection locked="0"/>
    </xf>
    <xf numFmtId="0" fontId="0" fillId="2" borderId="1" xfId="0" applyFill="1" applyBorder="1" applyAlignment="1" applyProtection="1">
      <alignment horizontal="center" vertical="center"/>
      <protection locked="0"/>
    </xf>
    <xf numFmtId="0" fontId="0" fillId="2" borderId="0" xfId="0" applyFill="1" applyAlignment="1" applyProtection="1">
      <alignment horizontal="center" vertical="center"/>
      <protection locked="0"/>
    </xf>
    <xf numFmtId="0" fontId="0" fillId="2" borderId="6" xfId="0" applyFill="1" applyBorder="1" applyAlignment="1" applyProtection="1">
      <alignment horizontal="center" vertical="center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0" fillId="2" borderId="19" xfId="0" applyFill="1" applyBorder="1" applyAlignment="1" applyProtection="1">
      <alignment horizontal="center" vertical="center"/>
      <protection locked="0"/>
    </xf>
    <xf numFmtId="0" fontId="0" fillId="2" borderId="21" xfId="0" applyFill="1" applyBorder="1" applyAlignment="1" applyProtection="1">
      <alignment horizontal="center" vertical="center"/>
      <protection locked="0"/>
    </xf>
    <xf numFmtId="0" fontId="0" fillId="7" borderId="7" xfId="0" applyFill="1" applyBorder="1" applyAlignment="1" applyProtection="1">
      <alignment horizontal="center" vertical="center"/>
      <protection locked="0"/>
    </xf>
    <xf numFmtId="0" fontId="0" fillId="7" borderId="0" xfId="0" applyFill="1" applyAlignment="1" applyProtection="1">
      <alignment horizontal="center" vertical="center"/>
      <protection locked="0"/>
    </xf>
    <xf numFmtId="0" fontId="0" fillId="2" borderId="4" xfId="0" applyFill="1" applyBorder="1" applyAlignment="1" applyProtection="1">
      <alignment horizontal="center" vertical="center"/>
      <protection locked="0"/>
    </xf>
    <xf numFmtId="0" fontId="0" fillId="5" borderId="20" xfId="0" applyFill="1" applyBorder="1" applyAlignment="1" applyProtection="1">
      <alignment horizontal="center" vertical="center"/>
      <protection locked="0"/>
    </xf>
    <xf numFmtId="0" fontId="0" fillId="2" borderId="20" xfId="0" applyFill="1" applyBorder="1" applyAlignment="1" applyProtection="1">
      <alignment horizontal="center" vertical="center"/>
      <protection locked="0"/>
    </xf>
    <xf numFmtId="0" fontId="0" fillId="2" borderId="9" xfId="0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2" borderId="15" xfId="0" applyFill="1" applyBorder="1" applyAlignment="1" applyProtection="1">
      <alignment horizontal="center" vertical="center"/>
      <protection locked="0"/>
    </xf>
    <xf numFmtId="0" fontId="0" fillId="2" borderId="9" xfId="0" applyFill="1" applyBorder="1" applyAlignment="1" applyProtection="1">
      <alignment horizontal="center" vertical="center"/>
      <protection locked="0"/>
    </xf>
    <xf numFmtId="0" fontId="0" fillId="2" borderId="14" xfId="0" applyFill="1" applyBorder="1" applyAlignment="1" applyProtection="1">
      <alignment horizontal="center" vertical="center"/>
      <protection locked="0"/>
    </xf>
    <xf numFmtId="0" fontId="0" fillId="2" borderId="13" xfId="0" applyFill="1" applyBorder="1" applyAlignment="1" applyProtection="1">
      <alignment horizontal="center" vertical="center"/>
      <protection locked="0"/>
    </xf>
    <xf numFmtId="0" fontId="0" fillId="2" borderId="23" xfId="0" applyFill="1" applyBorder="1" applyAlignment="1" applyProtection="1">
      <alignment horizontal="center" vertical="center"/>
      <protection locked="0"/>
    </xf>
    <xf numFmtId="0" fontId="0" fillId="2" borderId="24" xfId="0" applyFill="1" applyBorder="1" applyAlignment="1" applyProtection="1">
      <alignment horizontal="center" vertical="center"/>
      <protection locked="0"/>
    </xf>
    <xf numFmtId="0" fontId="0" fillId="7" borderId="17" xfId="0" applyFill="1" applyBorder="1" applyAlignment="1" applyProtection="1">
      <alignment horizontal="center" vertical="center"/>
      <protection locked="0"/>
    </xf>
    <xf numFmtId="0" fontId="0" fillId="7" borderId="14" xfId="0" applyFill="1" applyBorder="1" applyAlignment="1" applyProtection="1">
      <alignment horizontal="center" vertical="center"/>
      <protection locked="0"/>
    </xf>
    <xf numFmtId="0" fontId="0" fillId="2" borderId="5" xfId="0" applyFill="1" applyBorder="1" applyAlignment="1" applyProtection="1">
      <alignment horizontal="center" vertical="center"/>
      <protection locked="0"/>
    </xf>
    <xf numFmtId="0" fontId="0" fillId="5" borderId="8" xfId="0" applyFill="1" applyBorder="1" applyProtection="1">
      <protection locked="0"/>
    </xf>
    <xf numFmtId="0" fontId="0" fillId="5" borderId="11" xfId="0" applyFill="1" applyBorder="1" applyProtection="1">
      <protection locked="0"/>
    </xf>
    <xf numFmtId="0" fontId="0" fillId="5" borderId="12" xfId="0" applyFill="1" applyBorder="1" applyAlignment="1" applyProtection="1">
      <alignment horizontal="center" vertical="center"/>
      <protection locked="0"/>
    </xf>
    <xf numFmtId="0" fontId="0" fillId="5" borderId="8" xfId="0" applyFill="1" applyBorder="1" applyAlignment="1" applyProtection="1">
      <alignment horizontal="center" vertical="center"/>
      <protection locked="0"/>
    </xf>
    <xf numFmtId="0" fontId="0" fillId="5" borderId="11" xfId="0" applyFill="1" applyBorder="1" applyAlignment="1" applyProtection="1">
      <alignment horizontal="center" vertical="center"/>
      <protection locked="0"/>
    </xf>
    <xf numFmtId="0" fontId="0" fillId="5" borderId="10" xfId="0" applyFill="1" applyBorder="1" applyAlignment="1" applyProtection="1">
      <alignment horizontal="center" vertical="center"/>
      <protection locked="0"/>
    </xf>
    <xf numFmtId="0" fontId="0" fillId="5" borderId="28" xfId="0" applyFill="1" applyBorder="1" applyAlignment="1" applyProtection="1">
      <alignment horizontal="center" vertical="center"/>
      <protection locked="0"/>
    </xf>
    <xf numFmtId="0" fontId="0" fillId="5" borderId="29" xfId="0" applyFill="1" applyBorder="1" applyAlignment="1" applyProtection="1">
      <alignment horizontal="center" vertical="center"/>
      <protection locked="0"/>
    </xf>
    <xf numFmtId="0" fontId="0" fillId="6" borderId="16" xfId="0" applyFill="1" applyBorder="1" applyAlignment="1" applyProtection="1">
      <alignment horizontal="center" vertical="center"/>
      <protection locked="0"/>
    </xf>
    <xf numFmtId="0" fontId="0" fillId="6" borderId="11" xfId="0" applyFill="1" applyBorder="1" applyAlignment="1" applyProtection="1">
      <alignment horizontal="center" vertical="center"/>
      <protection locked="0"/>
    </xf>
    <xf numFmtId="0" fontId="0" fillId="5" borderId="3" xfId="0" applyFill="1" applyBorder="1" applyAlignment="1" applyProtection="1">
      <alignment horizontal="center" vertical="center"/>
      <protection locked="0"/>
    </xf>
    <xf numFmtId="0" fontId="4" fillId="2" borderId="0" xfId="0" applyFont="1" applyFill="1" applyProtection="1">
      <protection locked="0"/>
    </xf>
    <xf numFmtId="0" fontId="0" fillId="5" borderId="4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5" borderId="14" xfId="0" applyFill="1" applyBorder="1" applyProtection="1">
      <protection locked="0"/>
    </xf>
    <xf numFmtId="0" fontId="0" fillId="5" borderId="5" xfId="0" applyFill="1" applyBorder="1" applyProtection="1">
      <protection locked="0"/>
    </xf>
    <xf numFmtId="0" fontId="1" fillId="4" borderId="5" xfId="0" applyFont="1" applyFill="1" applyBorder="1" applyAlignment="1" applyProtection="1">
      <alignment horizontal="center" vertical="center"/>
      <protection locked="0"/>
    </xf>
    <xf numFmtId="0" fontId="0" fillId="5" borderId="34" xfId="0" applyFill="1" applyBorder="1" applyAlignment="1" applyProtection="1">
      <alignment horizontal="center" vertical="center"/>
      <protection locked="0"/>
    </xf>
    <xf numFmtId="0" fontId="0" fillId="5" borderId="36" xfId="0" applyFill="1" applyBorder="1" applyAlignment="1" applyProtection="1">
      <alignment horizontal="center" vertical="center"/>
      <protection locked="0"/>
    </xf>
    <xf numFmtId="0" fontId="0" fillId="5" borderId="37" xfId="0" applyFill="1" applyBorder="1" applyAlignment="1" applyProtection="1">
      <alignment horizontal="center" vertical="center"/>
      <protection locked="0"/>
    </xf>
    <xf numFmtId="0" fontId="0" fillId="6" borderId="38" xfId="0" applyFill="1" applyBorder="1" applyAlignment="1" applyProtection="1">
      <alignment horizontal="center" vertical="center"/>
      <protection locked="0"/>
    </xf>
    <xf numFmtId="0" fontId="0" fillId="6" borderId="39" xfId="0" applyFill="1" applyBorder="1" applyAlignment="1" applyProtection="1">
      <alignment horizontal="center" vertical="center"/>
      <protection locked="0"/>
    </xf>
    <xf numFmtId="0" fontId="7" fillId="2" borderId="9" xfId="0" applyFont="1" applyFill="1" applyBorder="1" applyAlignment="1" applyProtection="1">
      <alignment horizontal="center" vertical="center"/>
      <protection locked="0"/>
    </xf>
    <xf numFmtId="0" fontId="6" fillId="8" borderId="4" xfId="0" applyFont="1" applyFill="1" applyBorder="1" applyAlignment="1" applyProtection="1">
      <alignment horizontal="center" vertical="center" textRotation="90"/>
      <protection locked="0"/>
    </xf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0" fontId="9" fillId="0" borderId="0" xfId="0" applyFont="1"/>
    <xf numFmtId="0" fontId="4" fillId="0" borderId="0" xfId="0" applyFont="1"/>
    <xf numFmtId="0" fontId="8" fillId="0" borderId="0" xfId="0" applyFont="1"/>
    <xf numFmtId="0" fontId="11" fillId="0" borderId="0" xfId="0" applyFont="1"/>
    <xf numFmtId="0" fontId="12" fillId="0" borderId="0" xfId="0" applyFont="1"/>
    <xf numFmtId="0" fontId="1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0" fontId="10" fillId="0" borderId="0" xfId="0" applyFont="1"/>
    <xf numFmtId="0" fontId="13" fillId="0" borderId="0" xfId="0" applyFont="1" applyAlignment="1">
      <alignment vertical="center"/>
    </xf>
    <xf numFmtId="0" fontId="13" fillId="0" borderId="11" xfId="0" applyFont="1" applyBorder="1" applyAlignment="1">
      <alignment vertical="center"/>
    </xf>
    <xf numFmtId="0" fontId="0" fillId="0" borderId="1" xfId="0" applyBorder="1"/>
    <xf numFmtId="0" fontId="0" fillId="0" borderId="6" xfId="0" applyBorder="1"/>
    <xf numFmtId="0" fontId="7" fillId="0" borderId="6" xfId="0" applyFont="1" applyBorder="1"/>
    <xf numFmtId="0" fontId="7" fillId="0" borderId="1" xfId="0" applyFont="1" applyBorder="1"/>
    <xf numFmtId="0" fontId="7" fillId="0" borderId="0" xfId="0" applyFont="1"/>
    <xf numFmtId="0" fontId="0" fillId="0" borderId="0" xfId="0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8" xfId="0" applyBorder="1"/>
    <xf numFmtId="0" fontId="0" fillId="0" borderId="11" xfId="0" applyBorder="1"/>
    <xf numFmtId="0" fontId="0" fillId="0" borderId="11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10" xfId="0" applyBorder="1"/>
    <xf numFmtId="0" fontId="0" fillId="0" borderId="12" xfId="0" applyBorder="1" applyAlignment="1">
      <alignment horizontal="center" vertical="center"/>
    </xf>
    <xf numFmtId="0" fontId="7" fillId="0" borderId="8" xfId="0" applyFont="1" applyBorder="1"/>
    <xf numFmtId="0" fontId="7" fillId="0" borderId="11" xfId="0" applyFont="1" applyBorder="1"/>
    <xf numFmtId="0" fontId="7" fillId="0" borderId="10" xfId="0" applyFont="1" applyBorder="1"/>
    <xf numFmtId="0" fontId="14" fillId="0" borderId="0" xfId="0" applyFont="1"/>
    <xf numFmtId="0" fontId="7" fillId="0" borderId="11" xfId="0" applyFont="1" applyBorder="1" applyAlignment="1">
      <alignment horizontal="center"/>
    </xf>
    <xf numFmtId="0" fontId="7" fillId="0" borderId="12" xfId="0" applyFont="1" applyBorder="1" applyAlignment="1">
      <alignment horizontal="center"/>
    </xf>
    <xf numFmtId="0" fontId="7" fillId="0" borderId="0" xfId="0" applyFont="1" applyAlignment="1">
      <alignment horizontal="center"/>
    </xf>
    <xf numFmtId="0" fontId="7" fillId="0" borderId="2" xfId="0" applyFont="1" applyBorder="1" applyAlignment="1">
      <alignment horizontal="center"/>
    </xf>
    <xf numFmtId="0" fontId="0" fillId="0" borderId="9" xfId="0" applyBorder="1"/>
    <xf numFmtId="0" fontId="0" fillId="0" borderId="11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15" xfId="0" applyBorder="1" applyAlignment="1">
      <alignment horizontal="center"/>
    </xf>
    <xf numFmtId="0" fontId="7" fillId="0" borderId="12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0" fillId="0" borderId="30" xfId="0" applyBorder="1" applyAlignment="1">
      <alignment horizontal="center" vertical="center"/>
    </xf>
    <xf numFmtId="0" fontId="1" fillId="10" borderId="0" xfId="0" applyFont="1" applyFill="1"/>
    <xf numFmtId="0" fontId="3" fillId="10" borderId="30" xfId="0" applyFont="1" applyFill="1" applyBorder="1"/>
    <xf numFmtId="0" fontId="3" fillId="10" borderId="30" xfId="0" applyFont="1" applyFill="1" applyBorder="1" applyAlignment="1">
      <alignment horizontal="center"/>
    </xf>
    <xf numFmtId="0" fontId="3" fillId="10" borderId="30" xfId="0" applyFont="1" applyFill="1" applyBorder="1" applyAlignment="1">
      <alignment horizontal="center" vertical="center"/>
    </xf>
    <xf numFmtId="0" fontId="3" fillId="10" borderId="30" xfId="0" applyFont="1" applyFill="1" applyBorder="1" applyAlignment="1">
      <alignment horizontal="right"/>
    </xf>
    <xf numFmtId="0" fontId="1" fillId="10" borderId="62" xfId="0" applyFont="1" applyFill="1" applyBorder="1" applyAlignment="1">
      <alignment horizontal="center" vertical="center"/>
    </xf>
    <xf numFmtId="0" fontId="1" fillId="10" borderId="63" xfId="0" applyFont="1" applyFill="1" applyBorder="1" applyAlignment="1">
      <alignment horizontal="center" vertical="center"/>
    </xf>
    <xf numFmtId="0" fontId="1" fillId="10" borderId="58" xfId="0" applyFont="1" applyFill="1" applyBorder="1" applyAlignment="1">
      <alignment horizontal="center" vertical="center"/>
    </xf>
    <xf numFmtId="0" fontId="1" fillId="10" borderId="57" xfId="0" applyFont="1" applyFill="1" applyBorder="1" applyAlignment="1">
      <alignment horizontal="center" vertical="center"/>
    </xf>
    <xf numFmtId="0" fontId="1" fillId="10" borderId="64" xfId="0" applyFont="1" applyFill="1" applyBorder="1" applyAlignment="1">
      <alignment horizontal="center" vertical="center"/>
    </xf>
    <xf numFmtId="0" fontId="1" fillId="10" borderId="32" xfId="0" applyFont="1" applyFill="1" applyBorder="1" applyAlignment="1">
      <alignment horizontal="center" vertical="center"/>
    </xf>
    <xf numFmtId="0" fontId="1" fillId="10" borderId="54" xfId="0" applyFont="1" applyFill="1" applyBorder="1" applyAlignment="1">
      <alignment horizontal="center" vertical="center"/>
    </xf>
    <xf numFmtId="0" fontId="1" fillId="10" borderId="18" xfId="0" applyFont="1" applyFill="1" applyBorder="1" applyAlignment="1">
      <alignment horizontal="center" vertical="center"/>
    </xf>
    <xf numFmtId="0" fontId="1" fillId="10" borderId="27" xfId="0" applyFont="1" applyFill="1" applyBorder="1" applyAlignment="1">
      <alignment horizontal="center" vertical="center"/>
    </xf>
    <xf numFmtId="0" fontId="3" fillId="10" borderId="0" xfId="0" applyFont="1" applyFill="1"/>
    <xf numFmtId="0" fontId="0" fillId="12" borderId="30" xfId="0" applyFill="1" applyBorder="1" applyAlignment="1">
      <alignment horizontal="left"/>
    </xf>
    <xf numFmtId="0" fontId="1" fillId="10" borderId="30" xfId="0" applyFont="1" applyFill="1" applyBorder="1" applyAlignment="1">
      <alignment horizontal="right"/>
    </xf>
    <xf numFmtId="0" fontId="1" fillId="10" borderId="30" xfId="0" applyFont="1" applyFill="1" applyBorder="1"/>
    <xf numFmtId="0" fontId="0" fillId="11" borderId="30" xfId="0" applyFill="1" applyBorder="1"/>
    <xf numFmtId="14" fontId="0" fillId="0" borderId="30" xfId="0" applyNumberFormat="1" applyBorder="1"/>
    <xf numFmtId="0" fontId="1" fillId="10" borderId="18" xfId="0" applyFont="1" applyFill="1" applyBorder="1"/>
    <xf numFmtId="0" fontId="2" fillId="10" borderId="18" xfId="0" applyFont="1" applyFill="1" applyBorder="1" applyAlignment="1">
      <alignment horizontal="center" vertical="center" textRotation="255" shrinkToFit="1"/>
    </xf>
    <xf numFmtId="0" fontId="1" fillId="10" borderId="22" xfId="0" applyFont="1" applyFill="1" applyBorder="1"/>
    <xf numFmtId="0" fontId="1" fillId="10" borderId="22" xfId="0" applyFont="1" applyFill="1" applyBorder="1" applyAlignment="1">
      <alignment horizontal="left"/>
    </xf>
    <xf numFmtId="0" fontId="17" fillId="2" borderId="1" xfId="0" applyFont="1" applyFill="1" applyBorder="1" applyProtection="1">
      <protection locked="0"/>
    </xf>
    <xf numFmtId="0" fontId="17" fillId="2" borderId="0" xfId="0" applyFont="1" applyFill="1" applyProtection="1">
      <protection locked="0"/>
    </xf>
    <xf numFmtId="0" fontId="17" fillId="5" borderId="1" xfId="0" applyFont="1" applyFill="1" applyBorder="1" applyProtection="1">
      <protection locked="0"/>
    </xf>
    <xf numFmtId="0" fontId="17" fillId="5" borderId="0" xfId="0" applyFont="1" applyFill="1" applyProtection="1">
      <protection locked="0"/>
    </xf>
    <xf numFmtId="0" fontId="7" fillId="2" borderId="1" xfId="0" applyFont="1" applyFill="1" applyBorder="1" applyProtection="1">
      <protection locked="0"/>
    </xf>
    <xf numFmtId="0" fontId="7" fillId="2" borderId="0" xfId="0" applyFont="1" applyFill="1" applyProtection="1">
      <protection locked="0"/>
    </xf>
    <xf numFmtId="0" fontId="7" fillId="2" borderId="2" xfId="0" applyFont="1" applyFill="1" applyBorder="1" applyAlignment="1" applyProtection="1">
      <alignment horizontal="center" vertical="center"/>
      <protection locked="0"/>
    </xf>
    <xf numFmtId="0" fontId="7" fillId="2" borderId="1" xfId="0" applyFont="1" applyFill="1" applyBorder="1" applyAlignment="1" applyProtection="1">
      <alignment horizontal="center" vertical="center"/>
      <protection locked="0"/>
    </xf>
    <xf numFmtId="0" fontId="7" fillId="2" borderId="0" xfId="0" applyFont="1" applyFill="1" applyAlignment="1" applyProtection="1">
      <alignment horizontal="center" vertical="center"/>
      <protection locked="0"/>
    </xf>
    <xf numFmtId="0" fontId="7" fillId="2" borderId="6" xfId="0" applyFont="1" applyFill="1" applyBorder="1" applyAlignment="1" applyProtection="1">
      <alignment horizontal="center" vertical="center"/>
      <protection locked="0"/>
    </xf>
    <xf numFmtId="0" fontId="7" fillId="2" borderId="1" xfId="0" applyFont="1" applyFill="1" applyBorder="1" applyAlignment="1" applyProtection="1">
      <alignment horizontal="center"/>
      <protection locked="0"/>
    </xf>
    <xf numFmtId="0" fontId="7" fillId="2" borderId="19" xfId="0" applyFont="1" applyFill="1" applyBorder="1" applyAlignment="1" applyProtection="1">
      <alignment horizontal="center" vertical="center"/>
      <protection locked="0"/>
    </xf>
    <xf numFmtId="0" fontId="7" fillId="2" borderId="21" xfId="0" applyFont="1" applyFill="1" applyBorder="1" applyAlignment="1" applyProtection="1">
      <alignment horizontal="center" vertical="center"/>
      <protection locked="0"/>
    </xf>
    <xf numFmtId="0" fontId="7" fillId="7" borderId="7" xfId="0" applyFont="1" applyFill="1" applyBorder="1" applyAlignment="1" applyProtection="1">
      <alignment horizontal="center" vertical="center"/>
      <protection locked="0"/>
    </xf>
    <xf numFmtId="0" fontId="18" fillId="0" borderId="1" xfId="0" applyFont="1" applyBorder="1"/>
    <xf numFmtId="0" fontId="18" fillId="0" borderId="0" xfId="0" applyFont="1"/>
    <xf numFmtId="0" fontId="16" fillId="0" borderId="0" xfId="0" applyFont="1" applyAlignment="1">
      <alignment horizontal="center" vertical="center"/>
    </xf>
    <xf numFmtId="0" fontId="16" fillId="0" borderId="7" xfId="0" applyFont="1" applyBorder="1" applyAlignment="1">
      <alignment horizontal="center" vertical="center"/>
    </xf>
    <xf numFmtId="0" fontId="18" fillId="0" borderId="6" xfId="0" applyFont="1" applyBorder="1"/>
    <xf numFmtId="0" fontId="14" fillId="2" borderId="1" xfId="0" applyFont="1" applyFill="1" applyBorder="1" applyAlignment="1" applyProtection="1">
      <alignment horizontal="center" vertical="center"/>
      <protection locked="0"/>
    </xf>
    <xf numFmtId="0" fontId="14" fillId="2" borderId="0" xfId="0" applyFont="1" applyFill="1" applyAlignment="1" applyProtection="1">
      <alignment horizontal="center" vertical="center"/>
      <protection locked="0"/>
    </xf>
    <xf numFmtId="0" fontId="0" fillId="5" borderId="1" xfId="0" applyFill="1" applyBorder="1" applyAlignment="1" applyProtection="1">
      <alignment horizontal="center"/>
      <protection locked="0"/>
    </xf>
    <xf numFmtId="0" fontId="0" fillId="2" borderId="5" xfId="0" applyFill="1" applyBorder="1" applyProtection="1">
      <protection locked="0"/>
    </xf>
    <xf numFmtId="0" fontId="14" fillId="2" borderId="1" xfId="0" applyFont="1" applyFill="1" applyBorder="1" applyProtection="1">
      <protection locked="0"/>
    </xf>
    <xf numFmtId="0" fontId="14" fillId="2" borderId="0" xfId="0" applyFont="1" applyFill="1" applyProtection="1">
      <protection locked="0"/>
    </xf>
    <xf numFmtId="0" fontId="14" fillId="2" borderId="2" xfId="0" applyFont="1" applyFill="1" applyBorder="1" applyAlignment="1" applyProtection="1">
      <alignment horizontal="center" vertical="center"/>
      <protection locked="0"/>
    </xf>
    <xf numFmtId="0" fontId="14" fillId="2" borderId="9" xfId="0" applyFont="1" applyFill="1" applyBorder="1" applyProtection="1">
      <protection locked="0"/>
    </xf>
    <xf numFmtId="0" fontId="14" fillId="2" borderId="14" xfId="0" applyFont="1" applyFill="1" applyBorder="1" applyProtection="1">
      <protection locked="0"/>
    </xf>
    <xf numFmtId="0" fontId="14" fillId="2" borderId="15" xfId="0" applyFont="1" applyFill="1" applyBorder="1" applyAlignment="1" applyProtection="1">
      <alignment horizontal="center" vertical="center"/>
      <protection locked="0"/>
    </xf>
    <xf numFmtId="0" fontId="14" fillId="5" borderId="1" xfId="0" applyFont="1" applyFill="1" applyBorder="1" applyProtection="1">
      <protection locked="0"/>
    </xf>
    <xf numFmtId="0" fontId="14" fillId="5" borderId="0" xfId="0" applyFont="1" applyFill="1" applyProtection="1">
      <protection locked="0"/>
    </xf>
    <xf numFmtId="0" fontId="14" fillId="5" borderId="2" xfId="0" applyFont="1" applyFill="1" applyBorder="1" applyAlignment="1" applyProtection="1">
      <alignment horizontal="center" vertical="center"/>
      <protection locked="0"/>
    </xf>
    <xf numFmtId="0" fontId="0" fillId="0" borderId="0" xfId="0" applyAlignment="1">
      <alignment horizontal="left"/>
    </xf>
    <xf numFmtId="0" fontId="0" fillId="0" borderId="14" xfId="0" applyBorder="1" applyAlignment="1">
      <alignment horizontal="left"/>
    </xf>
    <xf numFmtId="0" fontId="16" fillId="11" borderId="34" xfId="0" applyFont="1" applyFill="1" applyBorder="1" applyAlignment="1">
      <alignment horizontal="center"/>
    </xf>
    <xf numFmtId="0" fontId="16" fillId="11" borderId="35" xfId="0" applyFont="1" applyFill="1" applyBorder="1" applyAlignment="1">
      <alignment horizontal="center"/>
    </xf>
    <xf numFmtId="0" fontId="16" fillId="11" borderId="39" xfId="0" applyFont="1" applyFill="1" applyBorder="1" applyAlignment="1">
      <alignment horizontal="center"/>
    </xf>
    <xf numFmtId="0" fontId="5" fillId="10" borderId="8" xfId="0" applyFont="1" applyFill="1" applyBorder="1" applyAlignment="1">
      <alignment horizontal="center" vertical="center"/>
    </xf>
    <xf numFmtId="0" fontId="5" fillId="10" borderId="11" xfId="0" applyFont="1" applyFill="1" applyBorder="1" applyAlignment="1">
      <alignment horizontal="center" vertical="center"/>
    </xf>
    <xf numFmtId="0" fontId="5" fillId="10" borderId="12" xfId="0" applyFont="1" applyFill="1" applyBorder="1" applyAlignment="1">
      <alignment horizontal="center" vertical="center"/>
    </xf>
    <xf numFmtId="0" fontId="5" fillId="10" borderId="60" xfId="0" applyFont="1" applyFill="1" applyBorder="1" applyAlignment="1">
      <alignment horizontal="center" vertical="center"/>
    </xf>
    <xf numFmtId="0" fontId="5" fillId="10" borderId="59" xfId="0" applyFont="1" applyFill="1" applyBorder="1" applyAlignment="1">
      <alignment horizontal="center" vertical="center"/>
    </xf>
    <xf numFmtId="0" fontId="5" fillId="10" borderId="61" xfId="0" applyFont="1" applyFill="1" applyBorder="1" applyAlignment="1">
      <alignment horizontal="center" vertical="center"/>
    </xf>
    <xf numFmtId="0" fontId="1" fillId="10" borderId="50" xfId="0" applyFont="1" applyFill="1" applyBorder="1" applyAlignment="1">
      <alignment horizontal="center" vertical="center"/>
    </xf>
    <xf numFmtId="0" fontId="1" fillId="10" borderId="54" xfId="0" applyFont="1" applyFill="1" applyBorder="1" applyAlignment="1">
      <alignment horizontal="center" vertical="center"/>
    </xf>
    <xf numFmtId="0" fontId="0" fillId="0" borderId="11" xfId="0" applyBorder="1" applyAlignment="1">
      <alignment horizontal="left"/>
    </xf>
    <xf numFmtId="0" fontId="16" fillId="11" borderId="65" xfId="0" applyFont="1" applyFill="1" applyBorder="1" applyAlignment="1">
      <alignment horizontal="center"/>
    </xf>
    <xf numFmtId="0" fontId="16" fillId="11" borderId="66" xfId="0" applyFont="1" applyFill="1" applyBorder="1" applyAlignment="1">
      <alignment horizontal="center"/>
    </xf>
    <xf numFmtId="0" fontId="16" fillId="11" borderId="38" xfId="0" applyFont="1" applyFill="1" applyBorder="1" applyAlignment="1">
      <alignment horizontal="center"/>
    </xf>
    <xf numFmtId="0" fontId="16" fillId="11" borderId="67" xfId="0" applyFont="1" applyFill="1" applyBorder="1" applyAlignment="1">
      <alignment horizontal="center"/>
    </xf>
    <xf numFmtId="0" fontId="16" fillId="11" borderId="68" xfId="0" applyFont="1" applyFill="1" applyBorder="1" applyAlignment="1">
      <alignment horizontal="center"/>
    </xf>
    <xf numFmtId="0" fontId="1" fillId="10" borderId="46" xfId="0" applyFont="1" applyFill="1" applyBorder="1" applyAlignment="1">
      <alignment horizontal="center" vertical="center"/>
    </xf>
    <xf numFmtId="0" fontId="1" fillId="10" borderId="44" xfId="0" applyFont="1" applyFill="1" applyBorder="1" applyAlignment="1">
      <alignment horizontal="center" vertical="center"/>
    </xf>
    <xf numFmtId="0" fontId="1" fillId="10" borderId="45" xfId="0" applyFont="1" applyFill="1" applyBorder="1" applyAlignment="1">
      <alignment horizontal="center" vertical="center"/>
    </xf>
    <xf numFmtId="0" fontId="1" fillId="10" borderId="33" xfId="0" applyFont="1" applyFill="1" applyBorder="1" applyAlignment="1">
      <alignment horizontal="center" vertical="center"/>
    </xf>
    <xf numFmtId="0" fontId="1" fillId="10" borderId="30" xfId="0" applyFont="1" applyFill="1" applyBorder="1" applyAlignment="1">
      <alignment horizontal="center" vertical="center"/>
    </xf>
    <xf numFmtId="0" fontId="1" fillId="10" borderId="42" xfId="0" applyFont="1" applyFill="1" applyBorder="1" applyAlignment="1">
      <alignment horizontal="center" vertical="center"/>
    </xf>
    <xf numFmtId="0" fontId="1" fillId="10" borderId="48" xfId="0" applyFont="1" applyFill="1" applyBorder="1" applyAlignment="1">
      <alignment horizontal="center" vertical="center"/>
    </xf>
    <xf numFmtId="0" fontId="1" fillId="10" borderId="53" xfId="0" applyFont="1" applyFill="1" applyBorder="1" applyAlignment="1">
      <alignment horizontal="center" vertical="center"/>
    </xf>
    <xf numFmtId="0" fontId="15" fillId="9" borderId="8" xfId="0" applyFont="1" applyFill="1" applyBorder="1" applyAlignment="1">
      <alignment horizontal="center" vertical="center"/>
    </xf>
    <xf numFmtId="0" fontId="15" fillId="9" borderId="11" xfId="0" applyFont="1" applyFill="1" applyBorder="1" applyAlignment="1">
      <alignment horizontal="center" vertical="center"/>
    </xf>
    <xf numFmtId="0" fontId="15" fillId="9" borderId="12" xfId="0" applyFont="1" applyFill="1" applyBorder="1" applyAlignment="1">
      <alignment horizontal="center" vertical="center"/>
    </xf>
    <xf numFmtId="0" fontId="15" fillId="9" borderId="1" xfId="0" applyFont="1" applyFill="1" applyBorder="1" applyAlignment="1">
      <alignment horizontal="center" vertical="center"/>
    </xf>
    <xf numFmtId="0" fontId="15" fillId="9" borderId="0" xfId="0" applyFont="1" applyFill="1" applyAlignment="1">
      <alignment horizontal="center" vertical="center"/>
    </xf>
    <xf numFmtId="0" fontId="15" fillId="9" borderId="2" xfId="0" applyFont="1" applyFill="1" applyBorder="1" applyAlignment="1">
      <alignment horizontal="center" vertical="center"/>
    </xf>
    <xf numFmtId="0" fontId="15" fillId="9" borderId="9" xfId="0" applyFont="1" applyFill="1" applyBorder="1" applyAlignment="1">
      <alignment horizontal="center" vertical="center"/>
    </xf>
    <xf numFmtId="0" fontId="15" fillId="9" borderId="14" xfId="0" applyFont="1" applyFill="1" applyBorder="1" applyAlignment="1">
      <alignment horizontal="center" vertical="center"/>
    </xf>
    <xf numFmtId="0" fontId="15" fillId="9" borderId="15" xfId="0" applyFont="1" applyFill="1" applyBorder="1" applyAlignment="1">
      <alignment horizontal="center" vertical="center"/>
    </xf>
    <xf numFmtId="0" fontId="1" fillId="10" borderId="40" xfId="0" applyFont="1" applyFill="1" applyBorder="1" applyAlignment="1">
      <alignment horizontal="center" vertical="center"/>
    </xf>
    <xf numFmtId="0" fontId="1" fillId="10" borderId="41" xfId="0" applyFont="1" applyFill="1" applyBorder="1" applyAlignment="1">
      <alignment horizontal="center" vertical="center"/>
    </xf>
    <xf numFmtId="0" fontId="6" fillId="8" borderId="3" xfId="0" applyFont="1" applyFill="1" applyBorder="1" applyAlignment="1" applyProtection="1">
      <alignment horizontal="center" vertical="center" textRotation="90"/>
      <protection locked="0"/>
    </xf>
    <xf numFmtId="0" fontId="6" fillId="8" borderId="4" xfId="0" applyFont="1" applyFill="1" applyBorder="1" applyAlignment="1" applyProtection="1">
      <alignment horizontal="center" vertical="center" textRotation="90"/>
      <protection locked="0"/>
    </xf>
    <xf numFmtId="0" fontId="6" fillId="8" borderId="5" xfId="0" applyFont="1" applyFill="1" applyBorder="1" applyAlignment="1" applyProtection="1">
      <alignment horizontal="center" vertical="center" textRotation="90"/>
      <protection locked="0"/>
    </xf>
    <xf numFmtId="0" fontId="0" fillId="10" borderId="25" xfId="0" applyFill="1" applyBorder="1" applyAlignment="1">
      <alignment horizontal="center"/>
    </xf>
    <xf numFmtId="0" fontId="0" fillId="10" borderId="32" xfId="0" applyFill="1" applyBorder="1" applyAlignment="1">
      <alignment horizontal="center"/>
    </xf>
    <xf numFmtId="0" fontId="1" fillId="10" borderId="22" xfId="0" applyFont="1" applyFill="1" applyBorder="1" applyAlignment="1">
      <alignment horizontal="center"/>
    </xf>
    <xf numFmtId="0" fontId="1" fillId="10" borderId="22" xfId="0" applyFont="1" applyFill="1" applyBorder="1" applyAlignment="1">
      <alignment horizontal="center" wrapText="1"/>
    </xf>
    <xf numFmtId="0" fontId="1" fillId="10" borderId="18" xfId="0" applyFont="1" applyFill="1" applyBorder="1" applyAlignment="1">
      <alignment horizontal="center" wrapText="1"/>
    </xf>
    <xf numFmtId="0" fontId="1" fillId="10" borderId="0" xfId="0" applyFont="1" applyFill="1" applyAlignment="1">
      <alignment horizontal="center"/>
    </xf>
    <xf numFmtId="0" fontId="1" fillId="10" borderId="43" xfId="0" applyFont="1" applyFill="1" applyBorder="1" applyAlignment="1">
      <alignment horizontal="center"/>
    </xf>
    <xf numFmtId="0" fontId="1" fillId="10" borderId="44" xfId="0" applyFont="1" applyFill="1" applyBorder="1" applyAlignment="1">
      <alignment horizontal="center"/>
    </xf>
    <xf numFmtId="0" fontId="1" fillId="10" borderId="47" xfId="0" applyFont="1" applyFill="1" applyBorder="1" applyAlignment="1">
      <alignment horizontal="center"/>
    </xf>
    <xf numFmtId="0" fontId="1" fillId="10" borderId="56" xfId="0" applyFont="1" applyFill="1" applyBorder="1" applyAlignment="1">
      <alignment horizontal="center" vertical="center"/>
    </xf>
    <xf numFmtId="0" fontId="1" fillId="10" borderId="55" xfId="0" applyFont="1" applyFill="1" applyBorder="1" applyAlignment="1">
      <alignment horizontal="center" vertical="center"/>
    </xf>
    <xf numFmtId="0" fontId="0" fillId="0" borderId="50" xfId="0" applyBorder="1" applyAlignment="1">
      <alignment horizontal="center"/>
    </xf>
    <xf numFmtId="0" fontId="0" fillId="0" borderId="51" xfId="0" applyBorder="1" applyAlignment="1">
      <alignment horizontal="center"/>
    </xf>
    <xf numFmtId="0" fontId="0" fillId="0" borderId="52" xfId="0" applyBorder="1" applyAlignment="1">
      <alignment horizontal="center"/>
    </xf>
    <xf numFmtId="0" fontId="0" fillId="0" borderId="48" xfId="0" applyBorder="1" applyAlignment="1">
      <alignment horizontal="center"/>
    </xf>
    <xf numFmtId="0" fontId="0" fillId="0" borderId="41" xfId="0" applyBorder="1" applyAlignment="1">
      <alignment horizontal="center"/>
    </xf>
    <xf numFmtId="0" fontId="0" fillId="0" borderId="49" xfId="0" applyBorder="1" applyAlignment="1">
      <alignment horizontal="center"/>
    </xf>
    <xf numFmtId="164" fontId="0" fillId="0" borderId="33" xfId="0" applyNumberFormat="1" applyBorder="1" applyAlignment="1">
      <alignment horizontal="center"/>
    </xf>
    <xf numFmtId="164" fontId="0" fillId="0" borderId="30" xfId="0" applyNumberFormat="1" applyBorder="1" applyAlignment="1">
      <alignment horizontal="center"/>
    </xf>
    <xf numFmtId="164" fontId="0" fillId="0" borderId="32" xfId="0" applyNumberFormat="1" applyBorder="1" applyAlignment="1">
      <alignment horizontal="center"/>
    </xf>
    <xf numFmtId="164" fontId="0" fillId="0" borderId="18" xfId="0" applyNumberFormat="1" applyBorder="1" applyAlignment="1">
      <alignment horizontal="center"/>
    </xf>
    <xf numFmtId="0" fontId="1" fillId="4" borderId="34" xfId="0" applyFont="1" applyFill="1" applyBorder="1" applyAlignment="1">
      <alignment horizontal="right"/>
    </xf>
    <xf numFmtId="0" fontId="1" fillId="4" borderId="35" xfId="0" applyFont="1" applyFill="1" applyBorder="1" applyAlignment="1">
      <alignment horizontal="right"/>
    </xf>
    <xf numFmtId="0" fontId="1" fillId="4" borderId="39" xfId="0" applyFont="1" applyFill="1" applyBorder="1" applyAlignment="1">
      <alignment horizontal="right"/>
    </xf>
    <xf numFmtId="0" fontId="1" fillId="4" borderId="3" xfId="0" applyFont="1" applyFill="1" applyBorder="1" applyAlignment="1" applyProtection="1">
      <alignment horizontal="center" vertical="center" textRotation="90"/>
      <protection locked="0"/>
    </xf>
    <xf numFmtId="0" fontId="1" fillId="4" borderId="4" xfId="0" applyFont="1" applyFill="1" applyBorder="1" applyAlignment="1" applyProtection="1">
      <alignment horizontal="center" vertical="center" textRotation="90"/>
      <protection locked="0"/>
    </xf>
    <xf numFmtId="0" fontId="1" fillId="4" borderId="5" xfId="0" applyFont="1" applyFill="1" applyBorder="1" applyAlignment="1" applyProtection="1">
      <alignment horizontal="center" vertical="center" textRotation="90"/>
      <protection locked="0"/>
    </xf>
    <xf numFmtId="0" fontId="5" fillId="3" borderId="35" xfId="0" applyFont="1" applyFill="1" applyBorder="1" applyAlignment="1">
      <alignment horizontal="left"/>
    </xf>
    <xf numFmtId="0" fontId="5" fillId="3" borderId="39" xfId="0" applyFont="1" applyFill="1" applyBorder="1" applyAlignment="1">
      <alignment horizontal="left"/>
    </xf>
    <xf numFmtId="0" fontId="1" fillId="10" borderId="46" xfId="0" applyFont="1" applyFill="1" applyBorder="1" applyAlignment="1">
      <alignment horizontal="left"/>
    </xf>
    <xf numFmtId="0" fontId="1" fillId="10" borderId="44" xfId="0" applyFont="1" applyFill="1" applyBorder="1" applyAlignment="1">
      <alignment horizontal="left"/>
    </xf>
    <xf numFmtId="0" fontId="1" fillId="10" borderId="47" xfId="0" applyFont="1" applyFill="1" applyBorder="1" applyAlignment="1">
      <alignment horizontal="left"/>
    </xf>
    <xf numFmtId="0" fontId="1" fillId="10" borderId="43" xfId="0" applyFont="1" applyFill="1" applyBorder="1" applyAlignment="1">
      <alignment horizontal="left"/>
    </xf>
    <xf numFmtId="0" fontId="1" fillId="10" borderId="45" xfId="0" applyFont="1" applyFill="1" applyBorder="1" applyAlignment="1">
      <alignment horizontal="left"/>
    </xf>
    <xf numFmtId="164" fontId="0" fillId="0" borderId="40" xfId="0" applyNumberFormat="1" applyBorder="1" applyAlignment="1">
      <alignment horizontal="center"/>
    </xf>
    <xf numFmtId="164" fontId="0" fillId="0" borderId="41" xfId="0" applyNumberFormat="1" applyBorder="1" applyAlignment="1">
      <alignment horizontal="center"/>
    </xf>
    <xf numFmtId="164" fontId="0" fillId="0" borderId="42" xfId="0" applyNumberFormat="1" applyBorder="1" applyAlignment="1">
      <alignment horizontal="center"/>
    </xf>
    <xf numFmtId="0" fontId="5" fillId="3" borderId="11" xfId="0" applyFont="1" applyFill="1" applyBorder="1" applyAlignment="1">
      <alignment horizontal="left"/>
    </xf>
    <xf numFmtId="0" fontId="5" fillId="3" borderId="12" xfId="0" applyFont="1" applyFill="1" applyBorder="1" applyAlignment="1">
      <alignment horizontal="left"/>
    </xf>
    <xf numFmtId="0" fontId="1" fillId="10" borderId="26" xfId="0" applyFont="1" applyFill="1" applyBorder="1" applyAlignment="1">
      <alignment horizontal="center" wrapText="1"/>
    </xf>
    <xf numFmtId="0" fontId="1" fillId="10" borderId="27" xfId="0" applyFont="1" applyFill="1" applyBorder="1" applyAlignment="1">
      <alignment horizontal="center" wrapText="1"/>
    </xf>
    <xf numFmtId="0" fontId="1" fillId="4" borderId="4" xfId="0" applyFont="1" applyFill="1" applyBorder="1" applyAlignment="1">
      <alignment horizontal="center" vertical="center"/>
    </xf>
    <xf numFmtId="0" fontId="1" fillId="4" borderId="4" xfId="0" applyFont="1" applyFill="1" applyBorder="1" applyAlignment="1" applyProtection="1">
      <alignment horizontal="center" vertical="center"/>
      <protection locked="0"/>
    </xf>
    <xf numFmtId="0" fontId="1" fillId="10" borderId="22" xfId="0" applyFont="1" applyFill="1" applyBorder="1" applyAlignment="1">
      <alignment horizontal="center" vertical="center"/>
    </xf>
    <xf numFmtId="0" fontId="1" fillId="10" borderId="18" xfId="0" applyFont="1" applyFill="1" applyBorder="1" applyAlignment="1">
      <alignment horizontal="center" vertical="center"/>
    </xf>
    <xf numFmtId="0" fontId="1" fillId="4" borderId="0" xfId="0" applyFont="1" applyFill="1" applyAlignment="1" applyProtection="1">
      <alignment horizontal="center" vertical="center" textRotation="90"/>
      <protection locked="0"/>
    </xf>
    <xf numFmtId="0" fontId="1" fillId="4" borderId="14" xfId="0" applyFont="1" applyFill="1" applyBorder="1" applyAlignment="1" applyProtection="1">
      <alignment horizontal="center" vertical="center" textRotation="90"/>
      <protection locked="0"/>
    </xf>
    <xf numFmtId="0" fontId="1" fillId="4" borderId="11" xfId="0" applyFont="1" applyFill="1" applyBorder="1" applyAlignment="1" applyProtection="1">
      <alignment horizontal="center" textRotation="90"/>
      <protection locked="0"/>
    </xf>
    <xf numFmtId="0" fontId="1" fillId="4" borderId="0" xfId="0" applyFont="1" applyFill="1" applyAlignment="1" applyProtection="1">
      <alignment horizontal="center" textRotation="90"/>
      <protection locked="0"/>
    </xf>
    <xf numFmtId="0" fontId="1" fillId="4" borderId="14" xfId="0" applyFont="1" applyFill="1" applyBorder="1" applyAlignment="1" applyProtection="1">
      <alignment horizontal="center" textRotation="90"/>
      <protection locked="0"/>
    </xf>
    <xf numFmtId="0" fontId="1" fillId="4" borderId="5" xfId="0" applyFont="1" applyFill="1" applyBorder="1" applyAlignment="1">
      <alignment horizontal="center" vertical="center"/>
    </xf>
    <xf numFmtId="0" fontId="1" fillId="4" borderId="3" xfId="0" applyFont="1" applyFill="1" applyBorder="1" applyAlignment="1">
      <alignment horizontal="center" vertical="center"/>
    </xf>
    <xf numFmtId="0" fontId="3" fillId="10" borderId="30" xfId="0" applyFont="1" applyFill="1" applyBorder="1" applyAlignment="1">
      <alignment horizontal="center"/>
    </xf>
  </cellXfs>
  <cellStyles count="1">
    <cellStyle name="Normal" xfId="0" builtinId="0"/>
  </cellStyles>
  <dxfs count="84">
    <dxf>
      <font>
        <color theme="1"/>
      </font>
      <fill>
        <patternFill>
          <bgColor theme="5" tint="0.59996337778862885"/>
        </patternFill>
      </fill>
    </dxf>
    <dxf>
      <font>
        <color theme="1"/>
      </font>
      <fill>
        <patternFill>
          <bgColor theme="5" tint="0.59996337778862885"/>
        </patternFill>
      </fill>
    </dxf>
    <dxf>
      <font>
        <color theme="1"/>
      </font>
      <fill>
        <patternFill>
          <bgColor theme="5" tint="0.59996337778862885"/>
        </patternFill>
      </fill>
    </dxf>
    <dxf>
      <font>
        <color theme="1"/>
      </font>
      <fill>
        <patternFill>
          <bgColor theme="5" tint="0.59996337778862885"/>
        </patternFill>
      </fill>
    </dxf>
    <dxf>
      <font>
        <color theme="1"/>
      </font>
      <fill>
        <patternFill>
          <bgColor theme="5" tint="0.59996337778862885"/>
        </patternFill>
      </fill>
    </dxf>
    <dxf>
      <font>
        <color theme="1"/>
      </font>
      <fill>
        <patternFill>
          <bgColor theme="5" tint="0.59996337778862885"/>
        </patternFill>
      </fill>
    </dxf>
    <dxf>
      <fill>
        <patternFill>
          <bgColor rgb="FFE6B8B7"/>
        </patternFill>
      </fill>
    </dxf>
    <dxf>
      <font>
        <color theme="1"/>
      </font>
      <fill>
        <patternFill>
          <bgColor theme="5" tint="0.59996337778862885"/>
        </patternFill>
      </fill>
    </dxf>
    <dxf>
      <font>
        <color rgb="FFFF0000"/>
      </font>
      <fill>
        <patternFill>
          <bgColor theme="1"/>
        </patternFill>
      </fill>
    </dxf>
    <dxf>
      <font>
        <color rgb="FFFF0000"/>
      </font>
      <fill>
        <patternFill>
          <bgColor theme="1"/>
        </patternFill>
      </fill>
    </dxf>
    <dxf>
      <font>
        <color rgb="FFFF0000"/>
      </font>
      <fill>
        <patternFill>
          <bgColor theme="1"/>
        </patternFill>
      </fill>
    </dxf>
    <dxf>
      <font>
        <color rgb="FFFF0000"/>
      </font>
      <fill>
        <patternFill>
          <bgColor theme="1"/>
        </patternFill>
      </fill>
    </dxf>
    <dxf>
      <font>
        <color rgb="FFFF0000"/>
      </font>
      <fill>
        <patternFill>
          <bgColor theme="1"/>
        </patternFill>
      </fill>
    </dxf>
    <dxf>
      <font>
        <color rgb="FFFF0000"/>
      </font>
      <fill>
        <patternFill>
          <bgColor theme="1"/>
        </patternFill>
      </fill>
    </dxf>
    <dxf>
      <font>
        <color rgb="FFFF0000"/>
      </font>
      <fill>
        <patternFill>
          <bgColor theme="1"/>
        </patternFill>
      </fill>
    </dxf>
    <dxf>
      <font>
        <color rgb="FFFF0000"/>
      </font>
      <fill>
        <patternFill>
          <bgColor theme="1"/>
        </patternFill>
      </fill>
    </dxf>
    <dxf>
      <font>
        <color rgb="FFFF0000"/>
      </font>
      <fill>
        <patternFill>
          <bgColor theme="1"/>
        </patternFill>
      </fill>
    </dxf>
    <dxf>
      <font>
        <color rgb="FFFF0000"/>
      </font>
      <fill>
        <patternFill>
          <bgColor theme="1"/>
        </patternFill>
      </fill>
    </dxf>
    <dxf>
      <font>
        <color rgb="FFFF0000"/>
      </font>
      <fill>
        <patternFill>
          <bgColor theme="1"/>
        </patternFill>
      </fill>
    </dxf>
    <dxf>
      <font>
        <color rgb="FFFF0000"/>
      </font>
      <fill>
        <patternFill>
          <bgColor theme="1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ont>
        <color rgb="FFFF0000"/>
      </font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ont>
        <color rgb="FFFF0000"/>
      </font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FDEDB1"/>
        </patternFill>
      </fill>
    </dxf>
    <dxf>
      <fill>
        <patternFill>
          <bgColor theme="6" tint="0.59996337778862885"/>
        </patternFill>
      </fill>
    </dxf>
    <dxf>
      <fill>
        <patternFill>
          <bgColor theme="4" tint="0.7999816888943144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ont>
        <color auto="1"/>
      </font>
      <fill>
        <patternFill>
          <bgColor rgb="FFFDEDB1"/>
        </patternFill>
      </fill>
      <border>
        <vertical/>
        <horizontal/>
      </border>
    </dxf>
    <dxf>
      <font>
        <color auto="1"/>
      </font>
      <fill>
        <patternFill>
          <bgColor theme="4" tint="0.79998168889431442"/>
        </patternFill>
      </fill>
      <border>
        <vertical/>
        <horizontal/>
      </border>
    </dxf>
    <dxf>
      <font>
        <color auto="1"/>
      </font>
      <fill>
        <patternFill>
          <bgColor rgb="FFFDEDB1"/>
        </patternFill>
      </fill>
      <border>
        <vertical/>
        <horizontal/>
      </border>
    </dxf>
    <dxf>
      <font>
        <color auto="1"/>
      </font>
      <fill>
        <patternFill>
          <bgColor theme="4" tint="0.79998168889431442"/>
        </patternFill>
      </fill>
      <border>
        <vertical/>
        <horizontal/>
      </border>
    </dxf>
    <dxf>
      <font>
        <color auto="1"/>
      </font>
      <fill>
        <patternFill>
          <bgColor theme="4" tint="0.79998168889431442"/>
        </patternFill>
      </fill>
      <border>
        <vertical/>
        <horizontal/>
      </border>
    </dxf>
    <dxf>
      <font>
        <color auto="1"/>
      </font>
      <fill>
        <patternFill>
          <bgColor rgb="FFFDEDB1"/>
        </patternFill>
      </fill>
      <border>
        <vertical/>
        <horizontal/>
      </border>
    </dxf>
    <dxf>
      <font>
        <color auto="1"/>
      </font>
      <fill>
        <patternFill>
          <bgColor rgb="FFFDEDB1"/>
        </patternFill>
      </fill>
      <border>
        <vertical/>
        <horizontal/>
      </border>
    </dxf>
    <dxf>
      <font>
        <color auto="1"/>
      </font>
      <fill>
        <patternFill>
          <bgColor theme="4" tint="0.79998168889431442"/>
        </patternFill>
      </fill>
      <border>
        <vertical/>
        <horizontal/>
      </border>
    </dxf>
    <dxf>
      <fill>
        <patternFill>
          <bgColor rgb="FFFDEDB1"/>
        </patternFill>
      </fill>
    </dxf>
    <dxf>
      <fill>
        <patternFill>
          <bgColor theme="6" tint="0.59996337778862885"/>
        </patternFill>
      </fill>
    </dxf>
    <dxf>
      <fill>
        <patternFill>
          <bgColor theme="4" tint="0.79998168889431442"/>
        </patternFill>
      </fill>
    </dxf>
    <dxf>
      <font>
        <color auto="1"/>
      </font>
      <fill>
        <patternFill>
          <bgColor theme="4" tint="0.79998168889431442"/>
        </patternFill>
      </fill>
      <border>
        <vertical/>
        <horizontal/>
      </border>
    </dxf>
    <dxf>
      <font>
        <color auto="1"/>
      </font>
      <fill>
        <patternFill>
          <bgColor rgb="FFFDEDB1"/>
        </patternFill>
      </fill>
      <border>
        <vertical/>
        <horizontal/>
      </border>
    </dxf>
    <dxf>
      <font>
        <color auto="1"/>
      </font>
      <fill>
        <patternFill>
          <bgColor rgb="FFFDEDB1"/>
        </patternFill>
      </fill>
      <border>
        <vertical/>
        <horizontal/>
      </border>
    </dxf>
    <dxf>
      <font>
        <color auto="1"/>
      </font>
      <fill>
        <patternFill>
          <bgColor theme="4" tint="0.79998168889431442"/>
        </patternFill>
      </fill>
      <border>
        <vertical/>
        <horizontal/>
      </border>
    </dxf>
    <dxf>
      <font>
        <color auto="1"/>
      </font>
      <fill>
        <patternFill>
          <bgColor theme="4" tint="0.79998168889431442"/>
        </patternFill>
      </fill>
      <border>
        <vertical/>
        <horizontal/>
      </border>
    </dxf>
    <dxf>
      <font>
        <color auto="1"/>
      </font>
      <fill>
        <patternFill>
          <bgColor rgb="FFFDEDB1"/>
        </patternFill>
      </fill>
      <border>
        <vertical/>
        <horizontal/>
      </border>
    </dxf>
    <dxf>
      <font>
        <color auto="1"/>
      </font>
      <fill>
        <patternFill>
          <bgColor rgb="FFFDEDB1"/>
        </patternFill>
      </fill>
      <border>
        <vertical/>
        <horizontal/>
      </border>
    </dxf>
    <dxf>
      <font>
        <color auto="1"/>
      </font>
      <fill>
        <patternFill>
          <bgColor theme="4" tint="0.79998168889431442"/>
        </patternFill>
      </fill>
      <border>
        <vertical/>
        <horizontal/>
      </border>
    </dxf>
    <dxf>
      <font>
        <color auto="1"/>
      </font>
      <fill>
        <patternFill>
          <bgColor theme="4" tint="0.79998168889431442"/>
        </patternFill>
      </fill>
      <border>
        <vertical/>
        <horizontal/>
      </border>
    </dxf>
    <dxf>
      <font>
        <color auto="1"/>
      </font>
      <fill>
        <patternFill>
          <bgColor rgb="FFFDEDB1"/>
        </patternFill>
      </fill>
      <border>
        <vertical/>
        <horizontal/>
      </border>
    </dxf>
    <dxf>
      <fill>
        <patternFill>
          <bgColor rgb="FFFDEDB1"/>
        </patternFill>
      </fill>
    </dxf>
    <dxf>
      <fill>
        <patternFill>
          <bgColor theme="6" tint="0.59996337778862885"/>
        </patternFill>
      </fill>
    </dxf>
    <dxf>
      <fill>
        <patternFill>
          <bgColor theme="4" tint="0.79998168889431442"/>
        </patternFill>
      </fill>
    </dxf>
    <dxf>
      <font>
        <color auto="1"/>
      </font>
      <fill>
        <patternFill>
          <bgColor theme="4" tint="0.79998168889431442"/>
        </patternFill>
      </fill>
      <border>
        <vertical/>
        <horizontal/>
      </border>
    </dxf>
    <dxf>
      <font>
        <color auto="1"/>
      </font>
      <fill>
        <patternFill>
          <bgColor rgb="FFFDEDB1"/>
        </patternFill>
      </fill>
      <border>
        <vertical/>
        <horizontal/>
      </border>
    </dxf>
    <dxf>
      <fill>
        <patternFill>
          <bgColor theme="5" tint="0.59996337778862885"/>
        </patternFill>
      </fill>
    </dxf>
    <dxf>
      <fill>
        <patternFill>
          <bgColor theme="6" tint="0.59996337778862885"/>
        </patternFill>
      </fill>
    </dxf>
    <dxf>
      <font>
        <color auto="1"/>
      </font>
      <fill>
        <patternFill>
          <bgColor theme="4" tint="0.79998168889431442"/>
        </patternFill>
      </fill>
      <border>
        <vertical/>
        <horizontal/>
      </border>
    </dxf>
    <dxf>
      <font>
        <color auto="1"/>
      </font>
      <fill>
        <patternFill>
          <bgColor rgb="FFFDEDB1"/>
        </patternFill>
      </fill>
      <border>
        <vertical/>
        <horizontal/>
      </border>
    </dxf>
    <dxf>
      <font>
        <color auto="1"/>
      </font>
      <fill>
        <patternFill>
          <bgColor theme="4" tint="0.79998168889431442"/>
        </patternFill>
      </fill>
      <border>
        <vertical/>
        <horizontal/>
      </border>
    </dxf>
    <dxf>
      <font>
        <color auto="1"/>
      </font>
      <fill>
        <patternFill>
          <bgColor rgb="FFFDEDB1"/>
        </patternFill>
      </fill>
      <border>
        <vertical/>
        <horizontal/>
      </border>
    </dxf>
    <dxf>
      <font>
        <color auto="1"/>
      </font>
      <fill>
        <patternFill>
          <bgColor theme="4" tint="0.79998168889431442"/>
        </patternFill>
      </fill>
      <border>
        <vertical/>
        <horizontal/>
      </border>
    </dxf>
    <dxf>
      <font>
        <color auto="1"/>
      </font>
      <fill>
        <patternFill>
          <bgColor rgb="FFFDEDB1"/>
        </patternFill>
      </fill>
      <border>
        <vertical/>
        <horizontal/>
      </border>
    </dxf>
    <dxf>
      <font>
        <color auto="1"/>
      </font>
      <fill>
        <patternFill>
          <bgColor rgb="FFFDEDB1"/>
        </patternFill>
      </fill>
      <border>
        <vertical/>
        <horizontal/>
      </border>
    </dxf>
    <dxf>
      <font>
        <color auto="1"/>
      </font>
      <fill>
        <patternFill>
          <bgColor theme="4" tint="0.79998168889431442"/>
        </patternFill>
      </fill>
      <border>
        <vertical/>
        <horizontal/>
      </border>
    </dxf>
    <dxf>
      <fill>
        <patternFill>
          <bgColor theme="6" tint="0.59996337778862885"/>
        </patternFill>
      </fill>
    </dxf>
    <dxf>
      <fill>
        <patternFill>
          <bgColor theme="4" tint="0.79998168889431442"/>
        </patternFill>
      </fill>
    </dxf>
    <dxf>
      <fill>
        <patternFill>
          <bgColor rgb="FFFDEDB1"/>
        </patternFill>
      </fill>
    </dxf>
    <dxf>
      <font>
        <color auto="1"/>
      </font>
      <fill>
        <patternFill>
          <bgColor theme="4" tint="0.59996337778862885"/>
        </patternFill>
      </fill>
      <border>
        <vertical/>
        <horizontal/>
      </border>
    </dxf>
    <dxf>
      <font>
        <color auto="1"/>
      </font>
      <fill>
        <patternFill>
          <bgColor rgb="FFFDEDB1"/>
        </patternFill>
      </fill>
      <border>
        <vertical/>
        <horizontal/>
      </border>
    </dxf>
  </dxfs>
  <tableStyles count="0" defaultTableStyle="TableStyleMedium2" defaultPivotStyle="PivotStyleMedium9"/>
  <colors>
    <mruColors>
      <color rgb="FFFDEDB1"/>
      <color rgb="FFFFFF99"/>
      <color rgb="FFFCD5B4"/>
      <color rgb="FFE6B8B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2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D281CE-87EF-43A6-878A-90C8B5B54889}">
  <dimension ref="B1:AC74"/>
  <sheetViews>
    <sheetView tabSelected="1" zoomScaleNormal="100" workbookViewId="0">
      <selection activeCell="G14" sqref="G14"/>
    </sheetView>
  </sheetViews>
  <sheetFormatPr defaultRowHeight="14.25" x14ac:dyDescent="0.45"/>
  <cols>
    <col min="2" max="2" width="10.53125" bestFit="1" customWidth="1"/>
    <col min="3" max="3" width="53" bestFit="1" customWidth="1"/>
    <col min="4" max="4" width="2.46484375" bestFit="1" customWidth="1"/>
    <col min="5" max="5" width="2.19921875" bestFit="1" customWidth="1"/>
    <col min="6" max="6" width="10.86328125" bestFit="1" customWidth="1"/>
    <col min="7" max="7" width="46.73046875" bestFit="1" customWidth="1"/>
    <col min="8" max="8" width="2.46484375" bestFit="1" customWidth="1"/>
    <col min="9" max="9" width="2.19921875" bestFit="1" customWidth="1"/>
    <col min="10" max="10" width="7.1328125" customWidth="1"/>
    <col min="11" max="11" width="18.1328125" customWidth="1"/>
    <col min="12" max="12" width="2.33203125" bestFit="1" customWidth="1"/>
    <col min="13" max="13" width="2" bestFit="1" customWidth="1"/>
    <col min="15" max="15" width="13.1328125" bestFit="1" customWidth="1"/>
    <col min="17" max="17" width="20.46484375" bestFit="1" customWidth="1"/>
    <col min="18" max="18" width="2.86328125" bestFit="1" customWidth="1"/>
    <col min="19" max="19" width="2.796875" bestFit="1" customWidth="1"/>
  </cols>
  <sheetData>
    <row r="1" spans="2:29" ht="14.65" thickBot="1" x14ac:dyDescent="0.5"/>
    <row r="2" spans="2:29" x14ac:dyDescent="0.45">
      <c r="B2" s="195" t="str">
        <f>_xlfn.CONCAT(COUNTA(C9:C17,G9:G17,K9:K17,C23:C31,G23:G31,K23:K31,C37:C45,G37:G45,K37:K45,C51:C59,G51:G59,K51:K59,C65:C73,G65:G73,K65:K73,P37:Q73)-COUNTBLANK(C9:C17)-COUNTBLANK(G9:G17)-COUNTBLANK(K9:K17)-COUNTBLANK(C23:C31)-COUNTBLANK(G23:G31)-COUNTBLANK(K23:K31)-COUNTBLANK(C37:C45)-COUNTBLANK(G37:G45)-COUNTBLANK(K37:K45)-COUNTBLANK(C51:C59)-COUNTBLANK(G51:G59)-COUNTBLANK(K51:K59)-COUNTBLANK(C65:C73)-COUNTBLANK(G65:G73)-COUNTBLANK(K65:K73)-COUNTBLANK(P37:Q73), " Courses totaling ", SUM(B9:M74)+SUM(R37:R73), " Units (need ", 'Student Profile'!$C$7-(SUM(B9:M74)+SUM(R37:R73)), " more units)")</f>
        <v>14 Courses totaling 42 Units (need 82 more units)</v>
      </c>
      <c r="C2" s="196"/>
      <c r="D2" s="196"/>
      <c r="E2" s="196"/>
      <c r="F2" s="196"/>
      <c r="G2" s="196"/>
      <c r="H2" s="196"/>
      <c r="I2" s="196"/>
      <c r="J2" s="196"/>
      <c r="K2" s="196"/>
      <c r="L2" s="196"/>
      <c r="M2" s="196"/>
      <c r="N2" s="196"/>
      <c r="O2" s="196"/>
      <c r="P2" s="196"/>
      <c r="Q2" s="196"/>
      <c r="R2" s="196"/>
      <c r="S2" s="197"/>
    </row>
    <row r="3" spans="2:29" x14ac:dyDescent="0.45">
      <c r="B3" s="198"/>
      <c r="C3" s="199"/>
      <c r="D3" s="199"/>
      <c r="E3" s="199"/>
      <c r="F3" s="199"/>
      <c r="G3" s="199"/>
      <c r="H3" s="199"/>
      <c r="I3" s="199"/>
      <c r="J3" s="199"/>
      <c r="K3" s="199"/>
      <c r="L3" s="199"/>
      <c r="M3" s="199"/>
      <c r="N3" s="199"/>
      <c r="O3" s="199"/>
      <c r="P3" s="199"/>
      <c r="Q3" s="199"/>
      <c r="R3" s="199"/>
      <c r="S3" s="200"/>
    </row>
    <row r="4" spans="2:29" ht="14.65" thickBot="1" x14ac:dyDescent="0.5">
      <c r="B4" s="201"/>
      <c r="C4" s="202"/>
      <c r="D4" s="202"/>
      <c r="E4" s="202"/>
      <c r="F4" s="202"/>
      <c r="G4" s="202"/>
      <c r="H4" s="202"/>
      <c r="I4" s="202"/>
      <c r="J4" s="202"/>
      <c r="K4" s="202"/>
      <c r="L4" s="202"/>
      <c r="M4" s="202"/>
      <c r="N4" s="202"/>
      <c r="O4" s="202"/>
      <c r="P4" s="202"/>
      <c r="Q4" s="202"/>
      <c r="R4" s="202"/>
      <c r="S4" s="203"/>
    </row>
    <row r="5" spans="2:29" ht="14.65" thickBot="1" x14ac:dyDescent="0.5"/>
    <row r="6" spans="2:29" x14ac:dyDescent="0.45">
      <c r="B6" s="187" t="str">
        <f>_xlfn.CONCAT("YEAR 1: ", 'Student Profile'!$C$8, "-", 'Student Profile'!$C$8+1)</f>
        <v>YEAR 1: 2025-2026</v>
      </c>
      <c r="C6" s="188"/>
      <c r="D6" s="188"/>
      <c r="E6" s="188"/>
      <c r="F6" s="188"/>
      <c r="G6" s="188"/>
      <c r="H6" s="188"/>
      <c r="I6" s="188"/>
      <c r="J6" s="188"/>
      <c r="K6" s="188"/>
      <c r="L6" s="188"/>
      <c r="M6" s="189"/>
      <c r="N6" s="76"/>
      <c r="O6" s="173" t="s">
        <v>69</v>
      </c>
      <c r="P6" s="174"/>
      <c r="Q6" s="174"/>
      <c r="R6" s="174"/>
      <c r="S6" s="175"/>
      <c r="T6" s="76"/>
      <c r="U6" s="76"/>
      <c r="V6" s="76"/>
      <c r="W6" s="76"/>
      <c r="X6" s="76"/>
      <c r="Y6" s="76"/>
      <c r="Z6" s="76"/>
      <c r="AA6" s="76"/>
      <c r="AB6" s="76"/>
      <c r="AC6" s="76"/>
    </row>
    <row r="7" spans="2:29" x14ac:dyDescent="0.45">
      <c r="B7" s="204" t="str">
        <f>_xlfn.CONCAT("FALL ", 'Student Profile'!$C$8)</f>
        <v>FALL 2025</v>
      </c>
      <c r="C7" s="205"/>
      <c r="D7" s="205"/>
      <c r="E7" s="192"/>
      <c r="F7" s="191" t="str">
        <f>_xlfn.CONCAT("SPRING ", 'Student Profile'!$C$8+1)</f>
        <v>SPRING 2026</v>
      </c>
      <c r="G7" s="191"/>
      <c r="H7" s="191"/>
      <c r="I7" s="191"/>
      <c r="J7" s="192" t="str">
        <f>_xlfn.CONCAT("SUMMER ", 'Student Profile'!$C$8+1)</f>
        <v>SUMMER 2026</v>
      </c>
      <c r="K7" s="191"/>
      <c r="L7" s="193"/>
      <c r="M7" s="194"/>
      <c r="N7" s="76"/>
      <c r="O7" s="176"/>
      <c r="P7" s="177"/>
      <c r="Q7" s="177"/>
      <c r="R7" s="177"/>
      <c r="S7" s="178"/>
      <c r="T7" s="76"/>
      <c r="U7" s="76"/>
      <c r="V7" s="76"/>
      <c r="W7" s="76"/>
      <c r="X7" s="76"/>
      <c r="Y7" s="76"/>
      <c r="Z7" s="76"/>
      <c r="AA7" s="76"/>
      <c r="AB7" s="76"/>
      <c r="AC7" s="76"/>
    </row>
    <row r="8" spans="2:29" ht="14.65" thickBot="1" x14ac:dyDescent="0.5">
      <c r="B8" s="117" t="s">
        <v>62</v>
      </c>
      <c r="C8" s="118" t="s">
        <v>63</v>
      </c>
      <c r="D8" s="118" t="s">
        <v>64</v>
      </c>
      <c r="E8" s="118" t="s">
        <v>10</v>
      </c>
      <c r="F8" s="118" t="s">
        <v>62</v>
      </c>
      <c r="G8" s="118" t="s">
        <v>63</v>
      </c>
      <c r="H8" s="118" t="s">
        <v>64</v>
      </c>
      <c r="I8" s="118" t="s">
        <v>10</v>
      </c>
      <c r="J8" s="119" t="s">
        <v>62</v>
      </c>
      <c r="K8" s="118" t="s">
        <v>63</v>
      </c>
      <c r="L8" s="120" t="s">
        <v>64</v>
      </c>
      <c r="M8" s="121" t="s">
        <v>10</v>
      </c>
      <c r="N8" s="77"/>
      <c r="O8" s="122" t="s">
        <v>68</v>
      </c>
      <c r="P8" s="123" t="s">
        <v>62</v>
      </c>
      <c r="Q8" s="124" t="s">
        <v>63</v>
      </c>
      <c r="R8" s="124" t="s">
        <v>64</v>
      </c>
      <c r="S8" s="125" t="s">
        <v>10</v>
      </c>
      <c r="T8" s="77"/>
      <c r="U8" s="77"/>
      <c r="V8" s="77"/>
      <c r="W8" s="77"/>
      <c r="X8" s="77"/>
      <c r="Y8" s="77"/>
      <c r="Z8" s="77"/>
      <c r="AA8" s="77"/>
      <c r="AB8" s="77"/>
      <c r="AC8" s="77"/>
    </row>
    <row r="9" spans="2:29" x14ac:dyDescent="0.45">
      <c r="B9" s="89" t="str" cm="1">
        <f t="array" ref="B9:B12">IFERROR(_xlfn._xlws.FILTER('Advisor View'!$C$5:$C$113,'Advisor View'!$AN$5:$AN$113=2),"")</f>
        <v>ENGR 2270</v>
      </c>
      <c r="C9" s="90" t="str">
        <f>IFERROR(VLOOKUP(B9,'Advisor View'!$C$5:$G$113,2, FALSE),"")</f>
        <v>Data Structures &amp; Analysis</v>
      </c>
      <c r="D9" s="91">
        <f>IFERROR(VLOOKUP(B9,'Advisor View'!$C$5:$G$113,5, FALSE), "")</f>
        <v>3</v>
      </c>
      <c r="E9" s="92" t="str">
        <f>_xlfn.IFNA(VLOOKUP(B9,'Advisor View'!$C$5:$AM$113,11,0), "")</f>
        <v>R</v>
      </c>
      <c r="F9" s="93" t="str" cm="1">
        <f t="array" ref="F9:F11">IFERROR(_xlfn._xlws.FILTER('Advisor View'!$C$5:$C$113,'Advisor View'!$AN$5:$AN$113=3),"")</f>
        <v>CSCI 4320</v>
      </c>
      <c r="G9" s="90" t="str">
        <f>IFERROR(VLOOKUP(F9,'Advisor View'!$C$5:$G$113,2, FALSE),"")</f>
        <v>Network Traffic Analysis (CS Conc.)</v>
      </c>
      <c r="H9" s="91">
        <f>IFERROR(VLOOKUP(F9,'Advisor View'!$C$5:$G$113,5, FALSE), "")</f>
        <v>3</v>
      </c>
      <c r="I9" s="92" t="str">
        <f>_xlfn.IFNA(VLOOKUP(F9,'Advisor View'!$C$5:$AM$113,12,0), "")</f>
        <v>R</v>
      </c>
      <c r="J9" s="90" t="str" cm="1">
        <f t="array" ref="J9">IFERROR(_xlfn._xlws.FILTER('Advisor View'!$C$5:$C$113,'Advisor View'!$AN$5:$AN$113=4), "")</f>
        <v/>
      </c>
      <c r="K9" s="90" t="str">
        <f>IFERROR(VLOOKUP(J9,'Advisor View'!$C$5:$G$113,2, FALSE),"")</f>
        <v/>
      </c>
      <c r="L9" s="91" t="str">
        <f>IFERROR(VLOOKUP(J9,'Advisor View'!$C$5:$G$113,5, FALSE), "")</f>
        <v/>
      </c>
      <c r="M9" s="94" t="str">
        <f>_xlfn.IFNA(VLOOKUP(J9,'Advisor View'!$C$5:$AM$113,13,0), "")</f>
        <v/>
      </c>
      <c r="N9" s="71"/>
      <c r="O9" s="95" t="str">
        <f>_xlfn.IFNA(_xlfn.CONCAT(IF(MOD(VLOOKUP(P9,'Advisor View'!$C$5:$AK$113,34,FALSE)-2,3)=0, "Fall", IF(MOD(VLOOKUP(P9,'Advisor View'!$C$5:$AK$113,34,FALSE)-2,3)=1, "Spring", "Summer")), " ",             _xlfn.FLOOR.MATH('Student Profile'!$C$8+VLOOKUP(P9,'Advisor View'!$C$5:$AK$113,34,FALSE)/3) ), "")</f>
        <v/>
      </c>
      <c r="P9" s="96" t="str" cm="1">
        <f t="array" ref="P9">IFERROR(_xlfn._xlws.FILTER('Advisor View'!$C$5:$C$113,'Advisor View'!$AJ$5:$AJ$113&lt;=16),"")</f>
        <v/>
      </c>
      <c r="Q9" s="96" t="str">
        <f>IFERROR(VLOOKUP(P9,'Advisor View'!$C$5:$G$113,2, FALSE),"")</f>
        <v/>
      </c>
      <c r="R9" s="99" t="str">
        <f>IFERROR(VLOOKUP(P9,'Advisor View'!$C$5:$G$113,5, FALSE), "")</f>
        <v/>
      </c>
      <c r="S9" s="109" t="str">
        <f>IF(_xlfn.IFNA(VLOOKUP(P9,'Advisor View'!$C$5:$AM$113,34,FALSE), "999")&lt;16, "W", "")</f>
        <v/>
      </c>
      <c r="T9" s="72"/>
      <c r="U9" s="73" t="str" cm="1">
        <f t="array" ref="U9">IFERROR(_xlfn._xlws.FILTER('Advisor View'!$C$5:$C$113,AND('Advisor View'!$AJ$5:$AJ$113&lt;16,'Advisor View'!$AJ$5:$AJ$113&gt;0)),"")</f>
        <v/>
      </c>
      <c r="V9" s="73"/>
      <c r="W9" s="73"/>
      <c r="X9" s="72"/>
      <c r="Y9" s="72"/>
      <c r="Z9" s="72"/>
    </row>
    <row r="10" spans="2:29" x14ac:dyDescent="0.45">
      <c r="B10" s="81" t="str">
        <v>ENGR 3290</v>
      </c>
      <c r="C10" t="str">
        <f>IFERROR(VLOOKUP(B10,'Advisor View'!$C$5:$G$113,2, FALSE),"")</f>
        <v>Computer Architecture</v>
      </c>
      <c r="D10" s="86">
        <f>IFERROR(VLOOKUP(B10,'Advisor View'!$C$5:$G$113,5, FALSE), "")</f>
        <v>3</v>
      </c>
      <c r="E10" s="87" t="str">
        <f>_xlfn.IFNA(VLOOKUP(B10,'Advisor View'!$C$5:$AM$113,11,0), "")</f>
        <v>R</v>
      </c>
      <c r="F10" s="83" t="str">
        <v>CSCI 4340</v>
      </c>
      <c r="G10" t="str">
        <f>IFERROR(VLOOKUP(F10,'Advisor View'!$C$5:$G$113,2, FALSE),"")</f>
        <v>Secure System Principles (CS Conc.)</v>
      </c>
      <c r="H10" s="86">
        <f>IFERROR(VLOOKUP(F10,'Advisor View'!$C$5:$G$113,5, FALSE), "")</f>
        <v>3</v>
      </c>
      <c r="I10" s="87" t="str">
        <f>_xlfn.IFNA(VLOOKUP(F10,'Advisor View'!$C$5:$AM$113,12,0), "")</f>
        <v>R</v>
      </c>
      <c r="J10" s="78"/>
      <c r="K10" t="str">
        <f>IFERROR(VLOOKUP(J10,'Advisor View'!$C$5:$G$113,2, FALSE),"")</f>
        <v/>
      </c>
      <c r="L10" s="86" t="str">
        <f>IFERROR(VLOOKUP(J10,'Advisor View'!$C$5:$G$113,5, FALSE), "")</f>
        <v/>
      </c>
      <c r="M10" s="88" t="str">
        <f>_xlfn.IFNA(VLOOKUP(J10,'Advisor View'!$C$5:$AM$113,13,0), "")</f>
        <v/>
      </c>
      <c r="N10" s="73"/>
      <c r="O10" s="84" t="str">
        <f>_xlfn.IFNA(_xlfn.CONCAT(IF(MOD(VLOOKUP(P10,'Advisor View'!$C$5:$AK$113,34,FALSE)-2,3)=0, "Fall", IF(MOD(VLOOKUP(P10,'Advisor View'!$C$5:$AK$113,34,FALSE)-2,3)=1, "Spring", "Summer")), " ",             _xlfn.FLOOR.MATH('Student Profile'!$C$8+VLOOKUP(P10,'Advisor View'!$C$5:$AK$113,34,FALSE)/3) ), "")</f>
        <v/>
      </c>
      <c r="P10" s="85"/>
      <c r="Q10" s="85" t="str">
        <f>IFERROR(VLOOKUP(P10,'Advisor View'!$C$5:$G$113,2, FALSE),"")</f>
        <v/>
      </c>
      <c r="R10" s="101" t="str">
        <f>IFERROR(VLOOKUP(P10,'Advisor View'!$C$5:$G$113,5, FALSE), "")</f>
        <v/>
      </c>
      <c r="S10" s="110" t="str">
        <f>IF(_xlfn.IFNA(VLOOKUP(P10,'Advisor View'!$C$5:$AM$113,34,FALSE), "999")&lt;16, "W", "")</f>
        <v/>
      </c>
      <c r="T10" s="72"/>
    </row>
    <row r="11" spans="2:29" x14ac:dyDescent="0.45">
      <c r="B11" s="81" t="str">
        <v>STAT 3100</v>
      </c>
      <c r="C11" t="str">
        <f>IFERROR(VLOOKUP(B11,'Advisor View'!$C$5:$G$113,2, FALSE),"")</f>
        <v>Mathematical Statistics I</v>
      </c>
      <c r="D11" s="86">
        <f>IFERROR(VLOOKUP(B11,'Advisor View'!$C$5:$G$113,5, FALSE), "")</f>
        <v>3</v>
      </c>
      <c r="E11" s="87" t="str">
        <f>_xlfn.IFNA(VLOOKUP(B11,'Advisor View'!$C$5:$AM$113,11,0), "")</f>
        <v>R</v>
      </c>
      <c r="F11" s="82" t="str">
        <v>CSCI 3230</v>
      </c>
      <c r="G11" t="str">
        <f>IFERROR(VLOOKUP(F11,'Advisor View'!$C$5:$G$113,2, FALSE),"")</f>
        <v>Cloud Computing &amp; App Development</v>
      </c>
      <c r="H11" s="86">
        <f>IFERROR(VLOOKUP(F11,'Advisor View'!$C$5:$G$113,5, FALSE), "")</f>
        <v>3</v>
      </c>
      <c r="I11" s="87" t="str">
        <f>_xlfn.IFNA(VLOOKUP(F11,'Advisor View'!$C$5:$AM$113,12,0), "")</f>
        <v>R</v>
      </c>
      <c r="K11" t="str">
        <f>IFERROR(VLOOKUP(J11,'Advisor View'!$C$5:$G$113,2, FALSE),"")</f>
        <v/>
      </c>
      <c r="L11" s="86" t="str">
        <f>IFERROR(VLOOKUP(J11,'Advisor View'!$C$5:$G$113,5, FALSE), "")</f>
        <v/>
      </c>
      <c r="M11" s="88" t="str">
        <f>_xlfn.IFNA(VLOOKUP(J11,'Advisor View'!$C$5:$AM$113,13,0), "")</f>
        <v/>
      </c>
      <c r="O11" s="84" t="str">
        <f>_xlfn.IFNA(_xlfn.CONCAT(IF(MOD(VLOOKUP(P11,'Advisor View'!$C$5:$AK$113,34,FALSE)-2,3)=0, "Fall", IF(MOD(VLOOKUP(P11,'Advisor View'!$C$5:$AK$113,34,FALSE)-2,3)=1, "Spring", "Summer")), " ",             _xlfn.FLOOR.MATH('Student Profile'!$C$8+VLOOKUP(P11,'Advisor View'!$C$5:$AK$113,34,FALSE)/3) ), "")</f>
        <v/>
      </c>
      <c r="P11" s="85"/>
      <c r="Q11" s="85" t="str">
        <f>IFERROR(VLOOKUP(P11,'Advisor View'!$C$5:$G$113,2, FALSE),"")</f>
        <v/>
      </c>
      <c r="R11" s="85" t="str">
        <f>IFERROR(VLOOKUP(P11,'Advisor View'!$C$5:$G$113,5, FALSE), "")</f>
        <v/>
      </c>
      <c r="S11" s="110" t="str">
        <f>IF(_xlfn.IFNA(VLOOKUP(P11,'Advisor View'!$C$5:$AM$113,34,FALSE), "999")&lt;16, "W", "")</f>
        <v/>
      </c>
      <c r="X11" s="74"/>
      <c r="Y11" s="74"/>
      <c r="Z11" s="74"/>
    </row>
    <row r="12" spans="2:29" x14ac:dyDescent="0.45">
      <c r="B12" s="81" t="str">
        <v>ESLG0940</v>
      </c>
      <c r="C12" t="str">
        <f>IFERROR(VLOOKUP(B12,'Advisor View'!$C$5:$G$113,2, FALSE),"")</f>
        <v>Advanced Academic Research</v>
      </c>
      <c r="D12" s="86">
        <f>IFERROR(VLOOKUP(B12,'Advisor View'!$C$5:$G$113,5, FALSE), "")</f>
        <v>3</v>
      </c>
      <c r="E12" s="87" t="str">
        <f>_xlfn.IFNA(VLOOKUP(B12,'Advisor View'!$C$5:$AM$113,11,0), "")</f>
        <v>R</v>
      </c>
      <c r="F12" s="82"/>
      <c r="G12" t="str">
        <f>IFERROR(VLOOKUP(F12,'Advisor View'!$C$5:$G$113,2, FALSE),"")</f>
        <v/>
      </c>
      <c r="H12" s="86" t="str">
        <f>IFERROR(VLOOKUP(F12,'Advisor View'!$C$5:$G$113,5, FALSE), "")</f>
        <v/>
      </c>
      <c r="I12" s="87" t="str">
        <f>_xlfn.IFNA(VLOOKUP(F12,'Advisor View'!$C$5:$AM$113,12,0), "")</f>
        <v/>
      </c>
      <c r="K12" t="str">
        <f>IFERROR(VLOOKUP(J12,'Advisor View'!$C$5:$G$113,2, FALSE),"")</f>
        <v/>
      </c>
      <c r="L12" s="86" t="str">
        <f>IFERROR(VLOOKUP(J12,'Advisor View'!$C$5:$G$113,5, FALSE), "")</f>
        <v/>
      </c>
      <c r="M12" s="88" t="str">
        <f>_xlfn.IFNA(VLOOKUP(J12,'Advisor View'!$C$5:$AM$113,13,0), "")</f>
        <v/>
      </c>
      <c r="N12" s="74"/>
      <c r="O12" s="84" t="str">
        <f>_xlfn.IFNA(_xlfn.CONCAT(IF(MOD(VLOOKUP(P12,'Advisor View'!$C$5:$AK$113,34,FALSE)-2,3)=0, "Fall", IF(MOD(VLOOKUP(P12,'Advisor View'!$C$5:$AK$113,34,FALSE)-2,3)=1, "Spring", "Summer")), " ",             _xlfn.FLOOR.MATH('Student Profile'!$C$8+VLOOKUP(P12,'Advisor View'!$C$5:$AK$113,34,FALSE)/3) ), "")</f>
        <v/>
      </c>
      <c r="P12" s="85"/>
      <c r="Q12" s="85" t="str">
        <f>IFERROR(VLOOKUP(P12,'Advisor View'!$C$5:$G$113,2, FALSE),"")</f>
        <v/>
      </c>
      <c r="R12" s="85" t="str">
        <f>IFERROR(VLOOKUP(P12,'Advisor View'!$C$5:$G$113,5, FALSE), "")</f>
        <v/>
      </c>
      <c r="S12" s="110" t="str">
        <f>IF(_xlfn.IFNA(VLOOKUP(P12,'Advisor View'!$C$5:$AM$113,34,FALSE), "999")&lt;16, "W", "")</f>
        <v/>
      </c>
      <c r="T12" s="74"/>
    </row>
    <row r="13" spans="2:29" x14ac:dyDescent="0.45">
      <c r="B13" s="81"/>
      <c r="C13" t="str">
        <f>IFERROR(VLOOKUP(B13,'Advisor View'!$C$5:$G$113,2, FALSE),"")</f>
        <v/>
      </c>
      <c r="D13" s="86" t="str">
        <f>IFERROR(VLOOKUP(B13,'Advisor View'!$C$5:$G$113,5, FALSE), "")</f>
        <v/>
      </c>
      <c r="E13" s="87" t="str">
        <f>_xlfn.IFNA(VLOOKUP(B13,'Advisor View'!$C$5:$AM$113,11,0), "")</f>
        <v/>
      </c>
      <c r="F13" s="82"/>
      <c r="G13" t="str">
        <f>IFERROR(VLOOKUP(F13,'Advisor View'!$C$5:$G$113,2, FALSE),"")</f>
        <v/>
      </c>
      <c r="H13" s="86" t="str">
        <f>IFERROR(VLOOKUP(F13,'Advisor View'!$C$5:$G$113,5, FALSE), "")</f>
        <v/>
      </c>
      <c r="I13" s="87" t="str">
        <f>_xlfn.IFNA(VLOOKUP(F13,'Advisor View'!$C$5:$AM$113,12,0), "")</f>
        <v/>
      </c>
      <c r="K13" t="str">
        <f>IFERROR(VLOOKUP(J13,'Advisor View'!$C$5:$G$113,2, FALSE),"")</f>
        <v/>
      </c>
      <c r="L13" s="86" t="str">
        <f>IFERROR(VLOOKUP(J13,'Advisor View'!$C$5:$G$113,5, FALSE), "")</f>
        <v/>
      </c>
      <c r="M13" s="88" t="str">
        <f>_xlfn.IFNA(VLOOKUP(J13,'Advisor View'!$C$5:$AM$113,13,0), "")</f>
        <v/>
      </c>
      <c r="O13" s="84" t="str">
        <f>_xlfn.IFNA(_xlfn.CONCAT(IF(MOD(VLOOKUP(P13,'Advisor View'!$C$5:$AK$113,34,FALSE)-2,3)=0, "Fall", IF(MOD(VLOOKUP(P13,'Advisor View'!$C$5:$AK$113,34,FALSE)-2,3)=1, "Spring", "Summer")), " ",             _xlfn.FLOOR.MATH('Student Profile'!$C$8+VLOOKUP(P13,'Advisor View'!$C$5:$AK$113,34,FALSE)/3) ), "")</f>
        <v/>
      </c>
      <c r="P13" s="85"/>
      <c r="Q13" s="85" t="str">
        <f>IFERROR(VLOOKUP(P13,'Advisor View'!$C$5:$G$113,2, FALSE),"")</f>
        <v/>
      </c>
      <c r="R13" s="85" t="str">
        <f>IFERROR(VLOOKUP(P13,'Advisor View'!$C$5:$G$113,5, FALSE), "")</f>
        <v/>
      </c>
      <c r="S13" s="110" t="str">
        <f>IF(_xlfn.IFNA(VLOOKUP(P13,'Advisor View'!$C$5:$AM$113,34,FALSE), "999")&lt;16, "W", "")</f>
        <v/>
      </c>
      <c r="X13" s="74"/>
      <c r="Y13" s="74"/>
      <c r="Z13" s="74"/>
      <c r="AA13" s="74"/>
      <c r="AB13" s="74"/>
      <c r="AC13" s="74"/>
    </row>
    <row r="14" spans="2:29" x14ac:dyDescent="0.45">
      <c r="B14" s="81"/>
      <c r="C14" t="str">
        <f>IFERROR(VLOOKUP(B14,'Advisor View'!$C$5:$G$113,2, FALSE),"")</f>
        <v/>
      </c>
      <c r="D14" s="86" t="str">
        <f>IFERROR(VLOOKUP(B14,'Advisor View'!$C$5:$G$113,5, FALSE), "")</f>
        <v/>
      </c>
      <c r="E14" s="87" t="str">
        <f>_xlfn.IFNA(VLOOKUP(B14,'Advisor View'!$C$5:$AM$113,11,0), "")</f>
        <v/>
      </c>
      <c r="F14" s="82"/>
      <c r="G14" t="str">
        <f>IFERROR(VLOOKUP(F14,'Advisor View'!$C$5:$G$113,2, FALSE),"")</f>
        <v/>
      </c>
      <c r="H14" s="86" t="str">
        <f>IFERROR(VLOOKUP(F14,'Advisor View'!$C$5:$G$113,5, FALSE), "")</f>
        <v/>
      </c>
      <c r="I14" s="87" t="str">
        <f>_xlfn.IFNA(VLOOKUP(F14,'Advisor View'!$C$5:$AM$113,12,0), "")</f>
        <v/>
      </c>
      <c r="K14" t="str">
        <f>IFERROR(VLOOKUP(J14,'Advisor View'!$C$5:$G$113,2, FALSE),"")</f>
        <v/>
      </c>
      <c r="L14" s="86" t="str">
        <f>IFERROR(VLOOKUP(J14,'Advisor View'!$C$5:$G$113,5, FALSE), "")</f>
        <v/>
      </c>
      <c r="M14" s="88" t="str">
        <f>_xlfn.IFNA(VLOOKUP(J14,'Advisor View'!$C$5:$AM$113,13,0), "")</f>
        <v/>
      </c>
      <c r="O14" s="84" t="str">
        <f>_xlfn.IFNA(_xlfn.CONCAT(IF(MOD(VLOOKUP(P14,'Advisor View'!$C$5:$AK$113,34,FALSE)-2,3)=0, "Fall", IF(MOD(VLOOKUP(P14,'Advisor View'!$C$5:$AK$113,34,FALSE)-2,3)=1, "Spring", "Summer")), " ",             _xlfn.FLOOR.MATH('Student Profile'!$C$8+VLOOKUP(P14,'Advisor View'!$C$5:$AK$113,34,FALSE)/3) ), "")</f>
        <v/>
      </c>
      <c r="P14" s="85"/>
      <c r="Q14" s="85" t="str">
        <f>IFERROR(VLOOKUP(P14,'Advisor View'!$C$5:$G$113,2, FALSE),"")</f>
        <v/>
      </c>
      <c r="R14" s="85" t="str">
        <f>IFERROR(VLOOKUP(P14,'Advisor View'!$C$5:$G$113,5, FALSE), "")</f>
        <v/>
      </c>
      <c r="S14" s="110" t="str">
        <f>IF(_xlfn.IFNA(VLOOKUP(P14,'Advisor View'!$C$5:$AM$113,34,FALSE), "999")&lt;16, "W", "")</f>
        <v/>
      </c>
      <c r="X14" s="74"/>
      <c r="Y14" s="74"/>
      <c r="Z14" s="74"/>
    </row>
    <row r="15" spans="2:29" x14ac:dyDescent="0.45">
      <c r="B15" s="81"/>
      <c r="C15" t="str">
        <f>IFERROR(VLOOKUP(B15,'Advisor View'!$C$5:$G$113,2, FALSE),"")</f>
        <v/>
      </c>
      <c r="D15" s="86" t="str">
        <f>IFERROR(VLOOKUP(B15,'Advisor View'!$C$5:$G$113,5, FALSE), "")</f>
        <v/>
      </c>
      <c r="E15" s="87" t="str">
        <f>_xlfn.IFNA(VLOOKUP(B15,'Advisor View'!$C$5:$AM$113,11,0), "")</f>
        <v/>
      </c>
      <c r="F15" s="83"/>
      <c r="G15" t="str">
        <f>IFERROR(VLOOKUP(F15,'Advisor View'!$C$5:$G$113,2, FALSE),"")</f>
        <v/>
      </c>
      <c r="H15" s="86" t="str">
        <f>IFERROR(VLOOKUP(F15,'Advisor View'!$C$5:$G$113,5, FALSE), "")</f>
        <v/>
      </c>
      <c r="I15" s="87" t="str">
        <f>_xlfn.IFNA(VLOOKUP(F15,'Advisor View'!$C$5:$AM$113,12,0), "")</f>
        <v/>
      </c>
      <c r="K15" t="str">
        <f>IFERROR(VLOOKUP(J15,'Advisor View'!$C$5:$G$113,2, FALSE),"")</f>
        <v/>
      </c>
      <c r="L15" s="86" t="str">
        <f>IFERROR(VLOOKUP(J15,'Advisor View'!$C$5:$G$113,5, FALSE), "")</f>
        <v/>
      </c>
      <c r="M15" s="88" t="str">
        <f>_xlfn.IFNA(VLOOKUP(J15,'Advisor View'!$C$5:$AM$113,13,0), "")</f>
        <v/>
      </c>
      <c r="O15" s="84" t="str">
        <f>_xlfn.IFNA(_xlfn.CONCAT(IF(MOD(VLOOKUP(P15,'Advisor View'!$C$5:$AK$113,34,FALSE)-2,3)=0, "Fall", IF(MOD(VLOOKUP(P15,'Advisor View'!$C$5:$AK$113,34,FALSE)-2,3)=1, "Spring", "Summer")), " ",             _xlfn.FLOOR.MATH('Student Profile'!$C$8+VLOOKUP(P15,'Advisor View'!$C$5:$AK$113,34,FALSE)/3) ), "")</f>
        <v/>
      </c>
      <c r="P15" s="85"/>
      <c r="Q15" s="85" t="str">
        <f>IFERROR(VLOOKUP(P15,'Advisor View'!$C$5:$G$113,2, FALSE),"")</f>
        <v/>
      </c>
      <c r="R15" s="85" t="str">
        <f>IFERROR(VLOOKUP(P15,'Advisor View'!$C$5:$G$113,5, FALSE), "")</f>
        <v/>
      </c>
      <c r="S15" s="110" t="str">
        <f>IF(_xlfn.IFNA(VLOOKUP(P15,'Advisor View'!$C$5:$AM$113,34,FALSE), "999")&lt;16, "W", "")</f>
        <v/>
      </c>
    </row>
    <row r="16" spans="2:29" x14ac:dyDescent="0.45">
      <c r="B16" s="81"/>
      <c r="C16" t="str">
        <f>IFERROR(VLOOKUP(B16,'Advisor View'!$C$5:$G$113,2, FALSE),"")</f>
        <v/>
      </c>
      <c r="D16" s="86" t="str">
        <f>IFERROR(VLOOKUP(B16,'Advisor View'!$C$5:$G$113,5, FALSE), "")</f>
        <v/>
      </c>
      <c r="E16" s="87" t="str">
        <f>_xlfn.IFNA(VLOOKUP(B16,'Advisor View'!$C$5:$AM$113,11,0), "")</f>
        <v/>
      </c>
      <c r="F16" s="82"/>
      <c r="G16" t="str">
        <f>IFERROR(VLOOKUP(F16,'Advisor View'!$C$5:$G$113,2, FALSE),"")</f>
        <v/>
      </c>
      <c r="H16" s="86" t="str">
        <f>IFERROR(VLOOKUP(F16,'Advisor View'!$C$5:$G$113,5, FALSE), "")</f>
        <v/>
      </c>
      <c r="I16" s="87" t="str">
        <f>_xlfn.IFNA(VLOOKUP(F16,'Advisor View'!$C$5:$AM$113,12,0), "")</f>
        <v/>
      </c>
      <c r="K16" t="str">
        <f>IFERROR(VLOOKUP(J16,'Advisor View'!$C$5:$G$113,2, FALSE),"")</f>
        <v/>
      </c>
      <c r="L16" s="86" t="str">
        <f>IFERROR(VLOOKUP(J16,'Advisor View'!$C$5:$G$113,5, FALSE), "")</f>
        <v/>
      </c>
      <c r="M16" s="88" t="str">
        <f>_xlfn.IFNA(VLOOKUP(J16,'Advisor View'!$C$5:$AM$113,13,0), "")</f>
        <v/>
      </c>
      <c r="O16" s="84" t="str">
        <f>_xlfn.IFNA(_xlfn.CONCAT(IF(MOD(VLOOKUP(P16,'Advisor View'!$C$5:$AK$113,34,FALSE)-2,3)=0, "Fall", IF(MOD(VLOOKUP(P16,'Advisor View'!$C$5:$AK$113,34,FALSE)-2,3)=1, "Spring", "Summer")), " ",             _xlfn.FLOOR.MATH('Student Profile'!$C$8+VLOOKUP(P16,'Advisor View'!$C$5:$AK$113,34,FALSE)/3) ), "")</f>
        <v/>
      </c>
      <c r="P16" s="85"/>
      <c r="Q16" s="85" t="str">
        <f>IFERROR(VLOOKUP(P16,'Advisor View'!$C$5:$G$113,2, FALSE),"")</f>
        <v/>
      </c>
      <c r="R16" s="85" t="str">
        <f>IFERROR(VLOOKUP(P16,'Advisor View'!$C$5:$G$113,5, FALSE), "")</f>
        <v/>
      </c>
      <c r="S16" s="110" t="str">
        <f>IF(_xlfn.IFNA(VLOOKUP(P16,'Advisor View'!$C$5:$AM$113,34,FALSE), "999")&lt;16, "W", "")</f>
        <v/>
      </c>
      <c r="T16" s="73"/>
      <c r="U16" s="73"/>
      <c r="V16" s="73"/>
      <c r="W16" s="73"/>
    </row>
    <row r="17" spans="2:29" ht="14.65" thickBot="1" x14ac:dyDescent="0.5">
      <c r="B17" s="81"/>
      <c r="C17" t="str">
        <f>IFERROR(VLOOKUP(B17,'Advisor View'!$C$5:$G$113,2, FALSE),"")</f>
        <v/>
      </c>
      <c r="D17" s="86" t="str">
        <f>IFERROR(VLOOKUP(B17,'Advisor View'!$C$5:$G$113,5, FALSE), "")</f>
        <v/>
      </c>
      <c r="E17" s="87" t="str">
        <f>_xlfn.IFNA(VLOOKUP(B17,'Advisor View'!$C$5:$AM$113,11,0), "")</f>
        <v/>
      </c>
      <c r="F17" s="82"/>
      <c r="G17" t="str">
        <f>IFERROR(VLOOKUP(F17,'Advisor View'!$C$5:$G$113,2, FALSE),"")</f>
        <v/>
      </c>
      <c r="H17" s="86" t="str">
        <f>IFERROR(VLOOKUP(F17,'Advisor View'!$C$5:$G$113,5, FALSE), "")</f>
        <v/>
      </c>
      <c r="I17" s="87" t="str">
        <f>_xlfn.IFNA(VLOOKUP(F17,'Advisor View'!$C$5:$AM$113,12,0), "")</f>
        <v/>
      </c>
      <c r="K17" t="str">
        <f>IFERROR(VLOOKUP(J17,'Advisor View'!$C$5:$G$113,2, FALSE),"")</f>
        <v/>
      </c>
      <c r="L17" s="86" t="str">
        <f>IFERROR(VLOOKUP(J17,'Advisor View'!$C$5:$G$113,5, FALSE), "")</f>
        <v/>
      </c>
      <c r="M17" s="88" t="str">
        <f>_xlfn.IFNA(VLOOKUP(J17,'Advisor View'!$C$5:$AM$113,13,0), "")</f>
        <v/>
      </c>
      <c r="N17" s="75"/>
      <c r="O17" s="84" t="str">
        <f>_xlfn.IFNA(_xlfn.CONCAT(IF(MOD(VLOOKUP(P17,'Advisor View'!$C$5:$AK$113,34,FALSE)-2,3)=0, "Fall", IF(MOD(VLOOKUP(P17,'Advisor View'!$C$5:$AK$113,34,FALSE)-2,3)=1, "Spring", "Summer")), " ",             _xlfn.FLOOR.MATH('Student Profile'!$C$8+VLOOKUP(P17,'Advisor View'!$C$5:$AK$113,34,FALSE)/3) ), "")</f>
        <v/>
      </c>
      <c r="P17" s="85"/>
      <c r="Q17" s="85" t="str">
        <f>IFERROR(VLOOKUP(P17,'Advisor View'!$C$5:$G$113,2, FALSE),"")</f>
        <v/>
      </c>
      <c r="R17" s="85" t="str">
        <f>IFERROR(VLOOKUP(P17,'Advisor View'!$C$5:$G$113,5, FALSE), "")</f>
        <v/>
      </c>
      <c r="S17" s="110" t="str">
        <f>IF(_xlfn.IFNA(VLOOKUP(P17,'Advisor View'!$C$5:$AM$113,34,FALSE), "999")&lt;16, "W", "")</f>
        <v/>
      </c>
      <c r="U17" s="73"/>
      <c r="V17" s="73"/>
      <c r="W17" s="73"/>
      <c r="X17" s="73"/>
      <c r="Y17" s="73"/>
      <c r="Z17" s="73"/>
    </row>
    <row r="18" spans="2:29" ht="14.65" thickBot="1" x14ac:dyDescent="0.5">
      <c r="B18" s="182" t="str">
        <f>_xlfn.CONCAT(COUNTA(C9:C17)-COUNTBLANK(C9:C17), " Courses totaling ", SUM(D9:D17), " Units")</f>
        <v>4 Courses totaling 12 Units</v>
      </c>
      <c r="C18" s="183"/>
      <c r="D18" s="183"/>
      <c r="E18" s="183"/>
      <c r="F18" s="183" t="str">
        <f>_xlfn.CONCAT(COUNTA(G9:G17)-COUNTBLANK(G9:G17), " Courses totaling ", SUM(H9:H17), " Units")</f>
        <v>3 Courses totaling 9 Units</v>
      </c>
      <c r="G18" s="183"/>
      <c r="H18" s="183"/>
      <c r="I18" s="183"/>
      <c r="J18" s="184" t="str">
        <f>_xlfn.CONCAT(COUNTA(K9:K17)-COUNTBLANK(K9:K17), " Courses totaling ", SUM(L9:L17), " Units")</f>
        <v>0 Courses totaling 0 Units</v>
      </c>
      <c r="K18" s="183"/>
      <c r="L18" s="185"/>
      <c r="M18" s="186"/>
      <c r="O18" s="170" t="str">
        <f>_xlfn.CONCAT(COUNTA(Q9:Q17)-COUNTBLANK(Q9:Q17), " Courses totaling ", SUM(R9:R17), " Units")</f>
        <v>0 Courses totaling 0 Units</v>
      </c>
      <c r="P18" s="171"/>
      <c r="Q18" s="171"/>
      <c r="R18" s="171"/>
      <c r="S18" s="172"/>
    </row>
    <row r="19" spans="2:29" ht="15" customHeight="1" thickBot="1" x14ac:dyDescent="0.5">
      <c r="B19" s="80"/>
      <c r="C19" s="80"/>
      <c r="D19" s="80"/>
      <c r="E19" s="80"/>
      <c r="F19" s="80"/>
      <c r="G19" s="80"/>
      <c r="H19" s="80"/>
      <c r="I19" s="80"/>
      <c r="J19" s="80"/>
      <c r="K19" s="80"/>
      <c r="L19" s="80"/>
      <c r="M19" s="80"/>
      <c r="N19" s="79"/>
      <c r="O19" s="79"/>
      <c r="P19" s="79"/>
      <c r="Q19" s="79"/>
      <c r="R19" s="79"/>
      <c r="S19" s="79"/>
      <c r="T19" s="79"/>
      <c r="U19" s="79"/>
      <c r="V19" s="79"/>
      <c r="W19" s="79"/>
      <c r="X19" s="79"/>
      <c r="Y19" s="79"/>
      <c r="Z19" s="79"/>
      <c r="AA19" s="79"/>
      <c r="AB19" s="79"/>
      <c r="AC19" s="79"/>
    </row>
    <row r="20" spans="2:29" ht="15" customHeight="1" x14ac:dyDescent="0.45">
      <c r="B20" s="187" t="str">
        <f>_xlfn.CONCAT("YEAR 2: ", 'Student Profile'!$C$8+1, "-", 'Student Profile'!$C$8+2)</f>
        <v>YEAR 2: 2026-2027</v>
      </c>
      <c r="C20" s="188"/>
      <c r="D20" s="188"/>
      <c r="E20" s="188"/>
      <c r="F20" s="188"/>
      <c r="G20" s="188"/>
      <c r="H20" s="188"/>
      <c r="I20" s="188"/>
      <c r="J20" s="188"/>
      <c r="K20" s="188"/>
      <c r="L20" s="188"/>
      <c r="M20" s="189"/>
      <c r="N20" s="79"/>
      <c r="O20" s="173" t="s">
        <v>70</v>
      </c>
      <c r="P20" s="174"/>
      <c r="Q20" s="174"/>
      <c r="R20" s="174"/>
      <c r="S20" s="175"/>
      <c r="T20" s="79"/>
      <c r="U20" s="79"/>
      <c r="V20" s="79"/>
      <c r="W20" s="79"/>
      <c r="X20" s="79"/>
      <c r="Y20" s="79"/>
      <c r="Z20" s="79"/>
      <c r="AA20" s="79"/>
      <c r="AB20" s="79"/>
      <c r="AC20" s="79"/>
    </row>
    <row r="21" spans="2:29" ht="15" customHeight="1" x14ac:dyDescent="0.45">
      <c r="B21" s="190" t="str">
        <f>_xlfn.CONCAT("FALL ", 'Student Profile'!$C$8+1)</f>
        <v>FALL 2026</v>
      </c>
      <c r="C21" s="191"/>
      <c r="D21" s="191"/>
      <c r="E21" s="191"/>
      <c r="F21" s="191" t="str">
        <f>_xlfn.CONCAT("SPRING ", 'Student Profile'!$C$8+2)</f>
        <v>SPRING 2027</v>
      </c>
      <c r="G21" s="191"/>
      <c r="H21" s="191"/>
      <c r="I21" s="191"/>
      <c r="J21" s="192" t="str">
        <f>_xlfn.CONCAT("SUMMER ", 'Student Profile'!$C$8+2)</f>
        <v>SUMMER 2027</v>
      </c>
      <c r="K21" s="191"/>
      <c r="L21" s="193"/>
      <c r="M21" s="194"/>
      <c r="N21" s="79"/>
      <c r="O21" s="176"/>
      <c r="P21" s="177"/>
      <c r="Q21" s="177"/>
      <c r="R21" s="177"/>
      <c r="S21" s="178"/>
      <c r="T21" s="79"/>
      <c r="U21" s="79"/>
      <c r="V21" s="79"/>
      <c r="W21" s="79"/>
      <c r="X21" s="79"/>
      <c r="Y21" s="79"/>
      <c r="Z21" s="79"/>
      <c r="AA21" s="79"/>
      <c r="AB21" s="79"/>
      <c r="AC21" s="79"/>
    </row>
    <row r="22" spans="2:29" ht="14.65" thickBot="1" x14ac:dyDescent="0.5">
      <c r="B22" s="117" t="s">
        <v>62</v>
      </c>
      <c r="C22" s="118" t="s">
        <v>63</v>
      </c>
      <c r="D22" s="118" t="s">
        <v>64</v>
      </c>
      <c r="E22" s="118" t="s">
        <v>10</v>
      </c>
      <c r="F22" s="118" t="s">
        <v>62</v>
      </c>
      <c r="G22" s="118" t="s">
        <v>63</v>
      </c>
      <c r="H22" s="118" t="s">
        <v>64</v>
      </c>
      <c r="I22" s="118" t="s">
        <v>10</v>
      </c>
      <c r="J22" s="119" t="s">
        <v>62</v>
      </c>
      <c r="K22" s="118" t="s">
        <v>63</v>
      </c>
      <c r="L22" s="118" t="s">
        <v>64</v>
      </c>
      <c r="M22" s="121" t="s">
        <v>10</v>
      </c>
      <c r="O22" s="122" t="s">
        <v>68</v>
      </c>
      <c r="P22" s="123" t="s">
        <v>62</v>
      </c>
      <c r="Q22" s="124" t="s">
        <v>63</v>
      </c>
      <c r="R22" s="124" t="s">
        <v>64</v>
      </c>
      <c r="S22" s="125" t="s">
        <v>10</v>
      </c>
    </row>
    <row r="23" spans="2:29" x14ac:dyDescent="0.45">
      <c r="B23" s="95" t="str" cm="1">
        <f t="array" ref="B23:B26">IFERROR(_xlfn._xlws.FILTER('Advisor View'!$C$5:$C$113,'Advisor View'!$AN$5:$AN$113=5),"")</f>
        <v>CSCI 5010</v>
      </c>
      <c r="C23" s="96" t="str">
        <f>IFERROR(VLOOKUP(B23,'Advisor View'!$C$5:$G$113,2, FALSE),"")</f>
        <v>Software Engineering (First offering 26-27)</v>
      </c>
      <c r="D23" s="91">
        <f>IFERROR(VLOOKUP(B23,'Advisor View'!$C$5:$G$113,5, FALSE), "")</f>
        <v>3</v>
      </c>
      <c r="E23" s="92" t="str">
        <f>_xlfn.IFNA(VLOOKUP(B23,'Advisor View'!$C$5:$AM$113,14,0), "")</f>
        <v>R</v>
      </c>
      <c r="F23" s="97" t="str" cm="1">
        <f t="array" ref="F23:F25">IFERROR(_xlfn._xlws.FILTER('Advisor View'!$C$5:$C$113,'Advisor View'!$AN$5:$AN$113=6),"")</f>
        <v>CSCI 5030</v>
      </c>
      <c r="G23" s="96" t="str">
        <f>IFERROR(VLOOKUP(F23,'Advisor View'!$C$5:$G$113,2, FALSE),"")</f>
        <v>Advanced Algorithms (First offering 26-27)</v>
      </c>
      <c r="H23" s="91">
        <f>IFERROR(VLOOKUP(F23,'Advisor View'!$C$5:$G$113,5, FALSE), "")</f>
        <v>3</v>
      </c>
      <c r="I23" s="92" t="str">
        <f>_xlfn.IFNA(VLOOKUP(F23,'Advisor View'!$C$5:$AM$113,15,0), "")</f>
        <v>R</v>
      </c>
      <c r="J23" s="96" t="str" cm="1">
        <f t="array" ref="J23">IFERROR(_xlfn._xlws.FILTER('Advisor View'!$C$5:$C$113,'Advisor View'!$AN$5:$AN$113=7), "")</f>
        <v/>
      </c>
      <c r="K23" s="96" t="str">
        <f>IFERROR(VLOOKUP(J23,'Advisor View'!$C$5:$G$113,2, FALSE),"")</f>
        <v/>
      </c>
      <c r="L23" s="91" t="str">
        <f>IFERROR(VLOOKUP(J23,'Advisor View'!$C$5:$G$113,5, FALSE), "")</f>
        <v/>
      </c>
      <c r="M23" s="94" t="str">
        <f>_xlfn.IFNA(VLOOKUP(J23,'Advisor View'!$C$5:$AM$113,16,0), "")</f>
        <v/>
      </c>
      <c r="O23" s="95" t="str">
        <f>_xlfn.IFNA(_xlfn.CONCAT(IF(MOD(VLOOKUP(P23,'Advisor View'!$C$5:$AK$113,35,FALSE)-2,3)=0, "Fall", IF(MOD(VLOOKUP(P23,'Advisor View'!$C$5:$AK$113,35,FALSE)-2,3)=1, "Spring", "Summer")), " ",             _xlfn.FLOOR.MATH('Student Profile'!$C$8+VLOOKUP(P23,'Advisor View'!$C$5:$AK$113,35,FALSE)/3) ), "")</f>
        <v/>
      </c>
      <c r="P23" s="96" t="str" cm="1">
        <f t="array" ref="P23">IFERROR(_xlfn._xlws.FILTER('Advisor View'!$C$5:$C$113,'Advisor View'!$AK$5:$AK$113&lt;=16),"")</f>
        <v/>
      </c>
      <c r="Q23" s="96" t="str">
        <f>IFERROR(VLOOKUP(P23,'Advisor View'!$C$5:$G$113,2, FALSE),"")</f>
        <v/>
      </c>
      <c r="R23" s="99" t="str">
        <f>IFERROR(VLOOKUP(P23,'Advisor View'!$C$5:$G$113,5, FALSE), "")</f>
        <v/>
      </c>
      <c r="S23" s="100" t="str">
        <f>IF(_xlfn.IFNA(VLOOKUP(P23,'Advisor View'!$C$5:$AM$113,35,FALSE), "999")&lt;16, "F", "")</f>
        <v/>
      </c>
    </row>
    <row r="24" spans="2:29" x14ac:dyDescent="0.45">
      <c r="B24" s="84" t="str">
        <v>CSCI 5020</v>
      </c>
      <c r="C24" s="85" t="str">
        <f>IFERROR(VLOOKUP(B24,'Advisor View'!$C$5:$G$113,2, FALSE),"")</f>
        <v>Advanced Computer Networks (First offering 26-27)</v>
      </c>
      <c r="D24" s="86">
        <f>IFERROR(VLOOKUP(B24,'Advisor View'!$C$5:$G$113,5, FALSE), "")</f>
        <v>3</v>
      </c>
      <c r="E24" s="87" t="str">
        <f>_xlfn.IFNA(VLOOKUP(B24,'Advisor View'!$C$5:$AM$113,14,0), "")</f>
        <v>R</v>
      </c>
      <c r="F24" s="83" t="str">
        <v>CSCI 5040</v>
      </c>
      <c r="G24" s="85" t="str">
        <f>IFERROR(VLOOKUP(F24,'Advisor View'!$C$5:$G$113,2, FALSE),"")</f>
        <v>Advanced Computer Architecture (First offering 26-27)</v>
      </c>
      <c r="H24" s="86">
        <f>IFERROR(VLOOKUP(F24,'Advisor View'!$C$5:$G$113,5, FALSE), "")</f>
        <v>3</v>
      </c>
      <c r="I24" s="87" t="str">
        <f>_xlfn.IFNA(VLOOKUP(F24,'Advisor View'!$C$5:$AM$113,15,0), "")</f>
        <v>R</v>
      </c>
      <c r="J24" s="85"/>
      <c r="K24" s="85" t="str">
        <f>IFERROR(VLOOKUP(J24,'Advisor View'!$C$5:$G$113,2, FALSE),"")</f>
        <v/>
      </c>
      <c r="L24" s="86" t="str">
        <f>IFERROR(VLOOKUP(J24,'Advisor View'!$C$5:$G$113,5, FALSE), "")</f>
        <v/>
      </c>
      <c r="M24" s="88" t="str">
        <f>_xlfn.IFNA(VLOOKUP(J24,'Advisor View'!$C$5:$AM$113,16,0), "")</f>
        <v/>
      </c>
      <c r="O24" s="84" t="str">
        <f>_xlfn.IFNA(_xlfn.CONCAT(IF(MOD(VLOOKUP(P24,'Advisor View'!$C$5:$AK$113,34,FALSE)-2,3)=0, "Fall", IF(MOD(VLOOKUP(P24,'Advisor View'!$C$5:$AK$113,34,FALSE)-2,3)=1, "Spring", "Summer")), " ",             _xlfn.FLOOR.MATH('Student Profile'!$C$8+VLOOKUP(P24,'Advisor View'!$C$5:$AK$113,34,FALSE)/3) ), "")</f>
        <v/>
      </c>
      <c r="P24" s="85"/>
      <c r="Q24" s="85" t="str">
        <f>IFERROR(VLOOKUP(P24,'Advisor View'!$C$5:$G$113,2, FALSE),"")</f>
        <v/>
      </c>
      <c r="R24" s="101" t="str">
        <f>IFERROR(VLOOKUP(P24,'Advisor View'!$C$5:$G$113,5, FALSE), "")</f>
        <v/>
      </c>
      <c r="S24" s="102" t="str">
        <f>IF(_xlfn.IFNA(VLOOKUP(P24,'Advisor View'!$C$5:$AM$113,35,FALSE), "999")&lt;16, "F", "")</f>
        <v/>
      </c>
    </row>
    <row r="25" spans="2:29" x14ac:dyDescent="0.45">
      <c r="B25" s="84" t="str">
        <v>CSCI 5900</v>
      </c>
      <c r="C25" s="85" t="str">
        <f>IFERROR(VLOOKUP(B25,'Advisor View'!$C$5:$G$113,2, FALSE),"")</f>
        <v>Research, Project Methodology &amp; Design (First offering 26-27)</v>
      </c>
      <c r="D25" s="86">
        <f>IFERROR(VLOOKUP(B25,'Advisor View'!$C$5:$G$113,5, FALSE), "")</f>
        <v>3</v>
      </c>
      <c r="E25" s="87" t="str">
        <f>_xlfn.IFNA(VLOOKUP(B25,'Advisor View'!$C$5:$AM$113,14,0), "")</f>
        <v>R</v>
      </c>
      <c r="F25" s="83" t="str">
        <v>CSCI 5910</v>
      </c>
      <c r="G25" s="85" t="str">
        <f>IFERROR(VLOOKUP(F25,'Advisor View'!$C$5:$G$113,2, FALSE),"")</f>
        <v>Capstone Project (First offering 26-27)</v>
      </c>
      <c r="H25" s="86">
        <f>IFERROR(VLOOKUP(F25,'Advisor View'!$C$5:$G$113,5, FALSE), "")</f>
        <v>3</v>
      </c>
      <c r="I25" s="87" t="str">
        <f>_xlfn.IFNA(VLOOKUP(F25,'Advisor View'!$C$5:$AM$113,15,0), "")</f>
        <v>R</v>
      </c>
      <c r="J25" s="85"/>
      <c r="K25" s="85" t="str">
        <f>IFERROR(VLOOKUP(J25,'Advisor View'!$C$5:$G$113,2, FALSE),"")</f>
        <v/>
      </c>
      <c r="L25" s="86" t="str">
        <f>IFERROR(VLOOKUP(J25,'Advisor View'!$C$5:$G$113,5, FALSE), "")</f>
        <v/>
      </c>
      <c r="M25" s="88" t="str">
        <f>_xlfn.IFNA(VLOOKUP(J25,'Advisor View'!$C$5:$AM$113,16,0), "")</f>
        <v/>
      </c>
      <c r="O25" s="84" t="str">
        <f>_xlfn.IFNA(_xlfn.CONCAT(IF(MOD(VLOOKUP(P25,'Advisor View'!$C$5:$AK$113,34,FALSE)-2,3)=0, "Fall", IF(MOD(VLOOKUP(P25,'Advisor View'!$C$5:$AK$113,34,FALSE)-2,3)=1, "Spring", "Summer")), " ",             _xlfn.FLOOR.MATH('Student Profile'!$C$8+VLOOKUP(P25,'Advisor View'!$C$5:$AK$113,34,FALSE)/3) ), "")</f>
        <v/>
      </c>
      <c r="P25" s="85"/>
      <c r="Q25" s="85" t="str">
        <f>IFERROR(VLOOKUP(P25,'Advisor View'!$C$5:$G$113,2, FALSE),"")</f>
        <v/>
      </c>
      <c r="R25" s="85" t="str">
        <f>IFERROR(VLOOKUP(P25,'Advisor View'!$C$5:$G$113,5, FALSE), "")</f>
        <v/>
      </c>
      <c r="S25" s="102" t="str">
        <f>IF(_xlfn.IFNA(VLOOKUP(P25,'Advisor View'!$C$5:$AM$113,35,FALSE), "999")&lt;16, "F", "")</f>
        <v/>
      </c>
    </row>
    <row r="26" spans="2:29" x14ac:dyDescent="0.45">
      <c r="B26" s="84" t="str">
        <v>CSCI 4330</v>
      </c>
      <c r="C26" s="85" t="str">
        <f>IFERROR(VLOOKUP(B26,'Advisor View'!$C$5:$G$113,2, FALSE),"")</f>
        <v>Cyber Security Incident Response &amp; Recovery (CS Conc.)</v>
      </c>
      <c r="D26" s="86">
        <f>IFERROR(VLOOKUP(B26,'Advisor View'!$C$5:$G$113,5, FALSE), "")</f>
        <v>3</v>
      </c>
      <c r="E26" s="87" t="str">
        <f>_xlfn.IFNA(VLOOKUP(B26,'Advisor View'!$C$5:$AM$113,14,0), "")</f>
        <v>R</v>
      </c>
      <c r="F26" s="83"/>
      <c r="G26" s="85" t="str">
        <f>IFERROR(VLOOKUP(F26,'Advisor View'!$C$5:$G$113,2, FALSE),"")</f>
        <v/>
      </c>
      <c r="H26" s="86" t="str">
        <f>IFERROR(VLOOKUP(F26,'Advisor View'!$C$5:$G$113,5, FALSE), "")</f>
        <v/>
      </c>
      <c r="I26" s="87" t="str">
        <f>_xlfn.IFNA(VLOOKUP(F26,'Advisor View'!$C$5:$AM$113,15,0), "")</f>
        <v/>
      </c>
      <c r="J26" s="85"/>
      <c r="K26" s="85" t="str">
        <f>IFERROR(VLOOKUP(J26,'Advisor View'!$C$5:$G$113,2, FALSE),"")</f>
        <v/>
      </c>
      <c r="L26" s="86" t="str">
        <f>IFERROR(VLOOKUP(J26,'Advisor View'!$C$5:$G$113,5, FALSE), "")</f>
        <v/>
      </c>
      <c r="M26" s="88" t="str">
        <f>_xlfn.IFNA(VLOOKUP(J26,'Advisor View'!$C$5:$AM$113,16,0), "")</f>
        <v/>
      </c>
      <c r="O26" s="84" t="str">
        <f>_xlfn.IFNA(_xlfn.CONCAT(IF(MOD(VLOOKUP(P26,'Advisor View'!$C$5:$AK$113,34,FALSE)-2,3)=0, "Fall", IF(MOD(VLOOKUP(P26,'Advisor View'!$C$5:$AK$113,34,FALSE)-2,3)=1, "Spring", "Summer")), " ",             _xlfn.FLOOR.MATH('Student Profile'!$C$8+VLOOKUP(P26,'Advisor View'!$C$5:$AK$113,34,FALSE)/3) ), "")</f>
        <v/>
      </c>
      <c r="P26" s="85"/>
      <c r="Q26" s="85" t="str">
        <f>IFERROR(VLOOKUP(P26,'Advisor View'!$C$5:$G$113,2, FALSE),"")</f>
        <v/>
      </c>
      <c r="R26" s="85" t="str">
        <f>IFERROR(VLOOKUP(P26,'Advisor View'!$C$5:$G$113,5, FALSE), "")</f>
        <v/>
      </c>
      <c r="S26" s="102" t="str">
        <f>IF(_xlfn.IFNA(VLOOKUP(P26,'Advisor View'!$C$5:$AM$113,35,FALSE), "999")&lt;16, "F", "")</f>
        <v/>
      </c>
    </row>
    <row r="27" spans="2:29" x14ac:dyDescent="0.45">
      <c r="B27" s="84"/>
      <c r="C27" s="85" t="str">
        <f>IFERROR(VLOOKUP(B27,'Advisor View'!$C$5:$G$113,2, FALSE),"")</f>
        <v/>
      </c>
      <c r="D27" s="86" t="str">
        <f>IFERROR(VLOOKUP(B27,'Advisor View'!$C$5:$G$113,5, FALSE), "")</f>
        <v/>
      </c>
      <c r="E27" s="87" t="str">
        <f>_xlfn.IFNA(VLOOKUP(B27,'Advisor View'!$C$5:$AM$113,14,0), "")</f>
        <v/>
      </c>
      <c r="F27" s="83"/>
      <c r="G27" s="85" t="str">
        <f>IFERROR(VLOOKUP(F27,'Advisor View'!$C$5:$G$113,2, FALSE),"")</f>
        <v/>
      </c>
      <c r="H27" s="86" t="str">
        <f>IFERROR(VLOOKUP(F27,'Advisor View'!$C$5:$G$113,5, FALSE), "")</f>
        <v/>
      </c>
      <c r="I27" s="87" t="str">
        <f>_xlfn.IFNA(VLOOKUP(F27,'Advisor View'!$C$5:$AM$113,15,0), "")</f>
        <v/>
      </c>
      <c r="J27" s="85"/>
      <c r="K27" s="85" t="str">
        <f>IFERROR(VLOOKUP(J27,'Advisor View'!$C$5:$G$113,2, FALSE),"")</f>
        <v/>
      </c>
      <c r="L27" s="86" t="str">
        <f>IFERROR(VLOOKUP(J27,'Advisor View'!$C$5:$G$113,5, FALSE), "")</f>
        <v/>
      </c>
      <c r="M27" s="88" t="str">
        <f>_xlfn.IFNA(VLOOKUP(J27,'Advisor View'!$C$5:$AM$113,16,0), "")</f>
        <v/>
      </c>
      <c r="O27" s="84" t="str">
        <f>_xlfn.IFNA(_xlfn.CONCAT(IF(MOD(VLOOKUP(P27,'Advisor View'!$C$5:$AK$113,34,FALSE)-2,3)=0, "Fall", IF(MOD(VLOOKUP(P27,'Advisor View'!$C$5:$AK$113,34,FALSE)-2,3)=1, "Spring", "Summer")), " ",             _xlfn.FLOOR.MATH('Student Profile'!$C$8+VLOOKUP(P27,'Advisor View'!$C$5:$AK$113,34,FALSE)/3) ), "")</f>
        <v/>
      </c>
      <c r="P27" s="85"/>
      <c r="Q27" s="85" t="str">
        <f>IFERROR(VLOOKUP(P27,'Advisor View'!$C$5:$G$113,2, FALSE),"")</f>
        <v/>
      </c>
      <c r="R27" s="85" t="str">
        <f>IFERROR(VLOOKUP(P27,'Advisor View'!$C$5:$G$113,5, FALSE), "")</f>
        <v/>
      </c>
      <c r="S27" s="102" t="str">
        <f>IF(_xlfn.IFNA(VLOOKUP(P27,'Advisor View'!$C$5:$AM$113,35,FALSE), "999")&lt;16, "F", "")</f>
        <v/>
      </c>
    </row>
    <row r="28" spans="2:29" x14ac:dyDescent="0.45">
      <c r="B28" s="84"/>
      <c r="C28" s="85" t="str">
        <f>IFERROR(VLOOKUP(B28,'Advisor View'!$C$5:$G$113,2, FALSE),"")</f>
        <v/>
      </c>
      <c r="D28" s="86" t="str">
        <f>IFERROR(VLOOKUP(B28,'Advisor View'!$C$5:$G$113,5, FALSE), "")</f>
        <v/>
      </c>
      <c r="E28" s="87" t="str">
        <f>_xlfn.IFNA(VLOOKUP(B28,'Advisor View'!$C$5:$AM$113,14,0), "")</f>
        <v/>
      </c>
      <c r="F28" s="83"/>
      <c r="G28" s="85" t="str">
        <f>IFERROR(VLOOKUP(F28,'Advisor View'!$C$5:$G$113,2, FALSE),"")</f>
        <v/>
      </c>
      <c r="H28" s="86" t="str">
        <f>IFERROR(VLOOKUP(F28,'Advisor View'!$C$5:$G$113,5, FALSE), "")</f>
        <v/>
      </c>
      <c r="I28" s="87" t="str">
        <f>_xlfn.IFNA(VLOOKUP(F28,'Advisor View'!$C$5:$AM$113,15,0), "")</f>
        <v/>
      </c>
      <c r="J28" s="85"/>
      <c r="K28" s="85" t="str">
        <f>IFERROR(VLOOKUP(J28,'Advisor View'!$C$5:$G$113,2, FALSE),"")</f>
        <v/>
      </c>
      <c r="L28" s="86" t="str">
        <f>IFERROR(VLOOKUP(J28,'Advisor View'!$C$5:$G$113,5, FALSE), "")</f>
        <v/>
      </c>
      <c r="M28" s="88" t="str">
        <f>_xlfn.IFNA(VLOOKUP(J28,'Advisor View'!$C$5:$AM$113,16,0), "")</f>
        <v/>
      </c>
      <c r="O28" s="84" t="str">
        <f>_xlfn.IFNA(_xlfn.CONCAT(IF(MOD(VLOOKUP(P28,'Advisor View'!$C$5:$AK$113,34,FALSE)-2,3)=0, "Fall", IF(MOD(VLOOKUP(P28,'Advisor View'!$C$5:$AK$113,34,FALSE)-2,3)=1, "Spring", "Summer")), " ",             _xlfn.FLOOR.MATH('Student Profile'!$C$8+VLOOKUP(P28,'Advisor View'!$C$5:$AK$113,34,FALSE)/3) ), "")</f>
        <v/>
      </c>
      <c r="P28" s="85"/>
      <c r="Q28" s="85" t="str">
        <f>IFERROR(VLOOKUP(P28,'Advisor View'!$C$5:$G$113,2, FALSE),"")</f>
        <v/>
      </c>
      <c r="R28" s="85" t="str">
        <f>IFERROR(VLOOKUP(P28,'Advisor View'!$C$5:$G$113,5, FALSE), "")</f>
        <v/>
      </c>
      <c r="S28" s="102" t="str">
        <f>IF(_xlfn.IFNA(VLOOKUP(P28,'Advisor View'!$C$5:$AM$113,35,FALSE), "999")&lt;16, "F", "")</f>
        <v/>
      </c>
    </row>
    <row r="29" spans="2:29" x14ac:dyDescent="0.45">
      <c r="B29" s="84"/>
      <c r="C29" s="85" t="str">
        <f>IFERROR(VLOOKUP(B29,'Advisor View'!$C$5:$G$113,2, FALSE),"")</f>
        <v/>
      </c>
      <c r="D29" s="86" t="str">
        <f>IFERROR(VLOOKUP(B29,'Advisor View'!$C$5:$G$113,5, FALSE), "")</f>
        <v/>
      </c>
      <c r="E29" s="87" t="str">
        <f>_xlfn.IFNA(VLOOKUP(B29,'Advisor View'!$C$5:$AM$113,14,0), "")</f>
        <v/>
      </c>
      <c r="F29" s="83"/>
      <c r="G29" s="85" t="str">
        <f>IFERROR(VLOOKUP(F29,'Advisor View'!$C$5:$G$113,2, FALSE),"")</f>
        <v/>
      </c>
      <c r="H29" s="86" t="str">
        <f>IFERROR(VLOOKUP(F29,'Advisor View'!$C$5:$G$113,5, FALSE), "")</f>
        <v/>
      </c>
      <c r="I29" s="87" t="str">
        <f>_xlfn.IFNA(VLOOKUP(F29,'Advisor View'!$C$5:$AM$113,15,0), "")</f>
        <v/>
      </c>
      <c r="J29" s="85"/>
      <c r="K29" s="85" t="str">
        <f>IFERROR(VLOOKUP(J29,'Advisor View'!$C$5:$G$113,2, FALSE),"")</f>
        <v/>
      </c>
      <c r="L29" s="86" t="str">
        <f>IFERROR(VLOOKUP(J29,'Advisor View'!$C$5:$G$113,5, FALSE), "")</f>
        <v/>
      </c>
      <c r="M29" s="88" t="str">
        <f>_xlfn.IFNA(VLOOKUP(J29,'Advisor View'!$C$5:$AM$113,16,0), "")</f>
        <v/>
      </c>
      <c r="O29" s="84" t="str">
        <f>_xlfn.IFNA(_xlfn.CONCAT(IF(MOD(VLOOKUP(P29,'Advisor View'!$C$5:$AK$113,34,FALSE)-2,3)=0, "Fall", IF(MOD(VLOOKUP(P29,'Advisor View'!$C$5:$AK$113,34,FALSE)-2,3)=1, "Spring", "Summer")), " ",             _xlfn.FLOOR.MATH('Student Profile'!$C$8+VLOOKUP(P29,'Advisor View'!$C$5:$AK$113,34,FALSE)/3) ), "")</f>
        <v/>
      </c>
      <c r="P29" s="85"/>
      <c r="Q29" s="85" t="str">
        <f>IFERROR(VLOOKUP(P29,'Advisor View'!$C$5:$G$113,2, FALSE),"")</f>
        <v/>
      </c>
      <c r="R29" s="85" t="str">
        <f>IFERROR(VLOOKUP(P29,'Advisor View'!$C$5:$G$113,5, FALSE), "")</f>
        <v/>
      </c>
      <c r="S29" s="102" t="str">
        <f>IF(_xlfn.IFNA(VLOOKUP(P29,'Advisor View'!$C$5:$AM$113,35,FALSE), "999")&lt;16, "F", "")</f>
        <v/>
      </c>
    </row>
    <row r="30" spans="2:29" x14ac:dyDescent="0.45">
      <c r="B30" s="84"/>
      <c r="C30" s="85" t="str">
        <f>IFERROR(VLOOKUP(B30,'Advisor View'!$C$5:$G$113,2, FALSE),"")</f>
        <v/>
      </c>
      <c r="D30" s="86" t="str">
        <f>IFERROR(VLOOKUP(B30,'Advisor View'!$C$5:$G$113,5, FALSE), "")</f>
        <v/>
      </c>
      <c r="E30" s="87" t="str">
        <f>_xlfn.IFNA(VLOOKUP(B30,'Advisor View'!$C$5:$AM$113,14,0), "")</f>
        <v/>
      </c>
      <c r="F30" s="83"/>
      <c r="G30" s="85" t="str">
        <f>IFERROR(VLOOKUP(F30,'Advisor View'!$C$5:$G$113,2, FALSE),"")</f>
        <v/>
      </c>
      <c r="H30" s="86" t="str">
        <f>IFERROR(VLOOKUP(F30,'Advisor View'!$C$5:$G$113,5, FALSE), "")</f>
        <v/>
      </c>
      <c r="I30" s="87" t="str">
        <f>_xlfn.IFNA(VLOOKUP(F30,'Advisor View'!$C$5:$AM$113,15,0), "")</f>
        <v/>
      </c>
      <c r="J30" s="85"/>
      <c r="K30" s="85" t="str">
        <f>IFERROR(VLOOKUP(J30,'Advisor View'!$C$5:$G$113,2, FALSE),"")</f>
        <v/>
      </c>
      <c r="L30" s="86" t="str">
        <f>IFERROR(VLOOKUP(J30,'Advisor View'!$C$5:$G$113,5, FALSE), "")</f>
        <v/>
      </c>
      <c r="M30" s="88" t="str">
        <f>_xlfn.IFNA(VLOOKUP(J30,'Advisor View'!$C$5:$AM$113,16,0), "")</f>
        <v/>
      </c>
      <c r="O30" s="84" t="str">
        <f>_xlfn.IFNA(_xlfn.CONCAT(IF(MOD(VLOOKUP(P30,'Advisor View'!$C$5:$AK$113,34,FALSE)-2,3)=0, "Fall", IF(MOD(VLOOKUP(P30,'Advisor View'!$C$5:$AK$113,34,FALSE)-2,3)=1, "Spring", "Summer")), " ",             _xlfn.FLOOR.MATH('Student Profile'!$C$8+VLOOKUP(P30,'Advisor View'!$C$5:$AK$113,34,FALSE)/3) ), "")</f>
        <v/>
      </c>
      <c r="P30" s="85"/>
      <c r="Q30" s="85" t="str">
        <f>IFERROR(VLOOKUP(P30,'Advisor View'!$C$5:$G$113,2, FALSE),"")</f>
        <v/>
      </c>
      <c r="R30" s="85" t="str">
        <f>IFERROR(VLOOKUP(P30,'Advisor View'!$C$5:$G$113,5, FALSE), "")</f>
        <v/>
      </c>
      <c r="S30" s="102" t="str">
        <f>IF(_xlfn.IFNA(VLOOKUP(P30,'Advisor View'!$C$5:$AM$113,35,FALSE), "999")&lt;16, "F", "")</f>
        <v/>
      </c>
    </row>
    <row r="31" spans="2:29" ht="14.65" thickBot="1" x14ac:dyDescent="0.5">
      <c r="B31" s="84"/>
      <c r="C31" s="85" t="str">
        <f>IFERROR(VLOOKUP(B31,'Advisor View'!$C$5:$G$113,2, FALSE),"")</f>
        <v/>
      </c>
      <c r="D31" s="86" t="str">
        <f>IFERROR(VLOOKUP(B31,'Advisor View'!$C$5:$G$113,5, FALSE), "")</f>
        <v/>
      </c>
      <c r="E31" s="87" t="str">
        <f>_xlfn.IFNA(VLOOKUP(B31,'Advisor View'!$C$5:$AM$113,14,0), "")</f>
        <v/>
      </c>
      <c r="F31" s="83"/>
      <c r="G31" s="85" t="str">
        <f>IFERROR(VLOOKUP(F31,'Advisor View'!$C$5:$G$113,2, FALSE),"")</f>
        <v/>
      </c>
      <c r="H31" s="86" t="str">
        <f>IFERROR(VLOOKUP(F31,'Advisor View'!$C$5:$G$113,5, FALSE), "")</f>
        <v/>
      </c>
      <c r="I31" s="87" t="str">
        <f>_xlfn.IFNA(VLOOKUP(F31,'Advisor View'!$C$5:$AM$113,15,0), "")</f>
        <v/>
      </c>
      <c r="J31" s="85"/>
      <c r="K31" s="85" t="str">
        <f>IFERROR(VLOOKUP(J31,'Advisor View'!$C$5:$G$113,2, FALSE),"")</f>
        <v/>
      </c>
      <c r="L31" s="86" t="str">
        <f>IFERROR(VLOOKUP(J31,'Advisor View'!$C$5:$G$113,5, FALSE), "")</f>
        <v/>
      </c>
      <c r="M31" s="88" t="str">
        <f>_xlfn.IFNA(VLOOKUP(J31,'Advisor View'!$C$5:$AM$113,16,0), "")</f>
        <v/>
      </c>
      <c r="O31" s="84" t="str">
        <f>_xlfn.IFNA(_xlfn.CONCAT(IF(MOD(VLOOKUP(P31,'Advisor View'!$C$5:$AK$113,34,FALSE)-2,3)=0, "Fall", IF(MOD(VLOOKUP(P31,'Advisor View'!$C$5:$AK$113,34,FALSE)-2,3)=1, "Spring", "Summer")), " ",             _xlfn.FLOOR.MATH('Student Profile'!$C$8+VLOOKUP(P31,'Advisor View'!$C$5:$AK$113,34,FALSE)/3) ), "")</f>
        <v/>
      </c>
      <c r="P31" s="85"/>
      <c r="Q31" s="85" t="str">
        <f>IFERROR(VLOOKUP(P31,'Advisor View'!$C$5:$G$113,2, FALSE),"")</f>
        <v/>
      </c>
      <c r="R31" s="85" t="str">
        <f>IFERROR(VLOOKUP(P31,'Advisor View'!$C$5:$G$113,5, FALSE), "")</f>
        <v/>
      </c>
      <c r="S31" s="102" t="str">
        <f>IF(_xlfn.IFNA(VLOOKUP(P31,'Advisor View'!$C$5:$AM$113,35,FALSE), "999")&lt;16, "F", "")</f>
        <v/>
      </c>
    </row>
    <row r="32" spans="2:29" ht="14.65" thickBot="1" x14ac:dyDescent="0.5">
      <c r="B32" s="182" t="str">
        <f>_xlfn.CONCAT(COUNTA(C23:C31)-COUNTBLANK(C23:C31), " Courses totaling ", SUM(D23:D31), " Units")</f>
        <v>4 Courses totaling 12 Units</v>
      </c>
      <c r="C32" s="183"/>
      <c r="D32" s="183"/>
      <c r="E32" s="183"/>
      <c r="F32" s="183" t="str">
        <f>_xlfn.CONCAT(COUNTA(G23:G31)-COUNTBLANK(G23:G31), " Courses totaling ", SUM(H23:H31), " Units")</f>
        <v>3 Courses totaling 9 Units</v>
      </c>
      <c r="G32" s="183"/>
      <c r="H32" s="183"/>
      <c r="I32" s="183"/>
      <c r="J32" s="184" t="str">
        <f>_xlfn.CONCAT(COUNTA(K23:K31)-COUNTBLANK(K23:K31), " Courses totaling ", SUM(L23:L31), " Units")</f>
        <v>0 Courses totaling 0 Units</v>
      </c>
      <c r="K32" s="183"/>
      <c r="L32" s="185"/>
      <c r="M32" s="186"/>
      <c r="O32" s="170" t="str">
        <f>_xlfn.CONCAT(COUNTA(Q23:Q31)-COUNTBLANK(Q23:Q31), " Courses totaling ", SUM(R23:R31), " Units")</f>
        <v>0 Courses totaling 0 Units</v>
      </c>
      <c r="P32" s="171"/>
      <c r="Q32" s="171"/>
      <c r="R32" s="171"/>
      <c r="S32" s="172"/>
    </row>
    <row r="33" spans="2:19" ht="14.65" thickBot="1" x14ac:dyDescent="0.5"/>
    <row r="34" spans="2:19" x14ac:dyDescent="0.45">
      <c r="B34" s="187" t="str">
        <f>_xlfn.CONCAT("YEAR 3: ", 'Student Profile'!$C$8+2, "-", 'Student Profile'!$C$8+3)</f>
        <v>YEAR 3: 2027-2028</v>
      </c>
      <c r="C34" s="188"/>
      <c r="D34" s="188"/>
      <c r="E34" s="188"/>
      <c r="F34" s="188"/>
      <c r="G34" s="188"/>
      <c r="H34" s="188"/>
      <c r="I34" s="188"/>
      <c r="J34" s="188"/>
      <c r="K34" s="188"/>
      <c r="L34" s="188"/>
      <c r="M34" s="189"/>
      <c r="O34" s="173" t="s">
        <v>71</v>
      </c>
      <c r="P34" s="174"/>
      <c r="Q34" s="174"/>
      <c r="R34" s="174"/>
      <c r="S34" s="175"/>
    </row>
    <row r="35" spans="2:19" x14ac:dyDescent="0.45">
      <c r="B35" s="190" t="str">
        <f>_xlfn.CONCAT("FALL ", 'Student Profile'!$C$8+2)</f>
        <v>FALL 2027</v>
      </c>
      <c r="C35" s="191"/>
      <c r="D35" s="191"/>
      <c r="E35" s="191"/>
      <c r="F35" s="191" t="str">
        <f>_xlfn.CONCAT("SPRING ", 'Student Profile'!$C$8+3)</f>
        <v>SPRING 2028</v>
      </c>
      <c r="G35" s="191"/>
      <c r="H35" s="191"/>
      <c r="I35" s="191"/>
      <c r="J35" s="192" t="str">
        <f>_xlfn.CONCAT("SUMMER ", 'Student Profile'!$C$8+3)</f>
        <v>SUMMER 2028</v>
      </c>
      <c r="K35" s="191"/>
      <c r="L35" s="193"/>
      <c r="M35" s="194"/>
      <c r="O35" s="176"/>
      <c r="P35" s="177"/>
      <c r="Q35" s="177"/>
      <c r="R35" s="177"/>
      <c r="S35" s="178"/>
    </row>
    <row r="36" spans="2:19" ht="14.65" thickBot="1" x14ac:dyDescent="0.5">
      <c r="B36" s="117" t="s">
        <v>62</v>
      </c>
      <c r="C36" s="118" t="s">
        <v>63</v>
      </c>
      <c r="D36" s="118" t="s">
        <v>64</v>
      </c>
      <c r="E36" s="118" t="s">
        <v>10</v>
      </c>
      <c r="F36" s="118" t="s">
        <v>62</v>
      </c>
      <c r="G36" s="118" t="s">
        <v>63</v>
      </c>
      <c r="H36" s="118" t="s">
        <v>64</v>
      </c>
      <c r="I36" s="118" t="s">
        <v>10</v>
      </c>
      <c r="J36" s="119" t="s">
        <v>62</v>
      </c>
      <c r="K36" s="118" t="s">
        <v>63</v>
      </c>
      <c r="L36" s="118" t="s">
        <v>64</v>
      </c>
      <c r="M36" s="121" t="s">
        <v>10</v>
      </c>
      <c r="O36" s="122" t="s">
        <v>62</v>
      </c>
      <c r="P36" s="179" t="s">
        <v>63</v>
      </c>
      <c r="Q36" s="180"/>
      <c r="R36" s="124" t="s">
        <v>64</v>
      </c>
      <c r="S36" s="125" t="s">
        <v>10</v>
      </c>
    </row>
    <row r="37" spans="2:19" x14ac:dyDescent="0.45">
      <c r="B37" s="95" t="str" cm="1">
        <f t="array" ref="B37">IFERROR(_xlfn._xlws.FILTER('Advisor View'!$C$5:$C$113,'Advisor View'!$AN$5:$AN$113=8),"")</f>
        <v/>
      </c>
      <c r="C37" s="96" t="str">
        <f>IFERROR(VLOOKUP(B37,'Advisor View'!$C$5:$G$113,2, FALSE),"")</f>
        <v/>
      </c>
      <c r="D37" s="91" t="str">
        <f>IFERROR(VLOOKUP(B37,'Advisor View'!$C$5:$G$113,5, FALSE), "")</f>
        <v/>
      </c>
      <c r="E37" s="92" t="str">
        <f>_xlfn.IFNA(VLOOKUP(B37,'Advisor View'!$C$5:$AM$113,17,0), "")</f>
        <v/>
      </c>
      <c r="F37" s="97" t="str" cm="1">
        <f t="array" ref="F37">IFERROR(_xlfn._xlws.FILTER('Advisor View'!$C$5:$C$113,'Advisor View'!$AN$5:$AN$113=9),"")</f>
        <v/>
      </c>
      <c r="G37" s="96" t="str">
        <f>IFERROR(VLOOKUP(F37,'Advisor View'!$C$5:$G$113,2, FALSE),"")</f>
        <v/>
      </c>
      <c r="H37" s="91" t="str">
        <f>IFERROR(VLOOKUP(F37,'Advisor View'!$C$5:$G$113,5, FALSE), "")</f>
        <v/>
      </c>
      <c r="I37" s="92" t="str">
        <f>_xlfn.IFNA(VLOOKUP(F37,'Advisor View'!$C$5:$AM$113,18,0), "")</f>
        <v/>
      </c>
      <c r="J37" s="96" t="str" cm="1">
        <f t="array" ref="J37">IFERROR(_xlfn._xlws.FILTER('Advisor View'!$C$5:$C$113,'Advisor View'!$AN$5:$AN$113=10), "")</f>
        <v/>
      </c>
      <c r="K37" s="96" t="str">
        <f>IFERROR(VLOOKUP(J37,'Advisor View'!$C$5:$G$113,2, FALSE),"")</f>
        <v/>
      </c>
      <c r="L37" s="91" t="str">
        <f>IFERROR(VLOOKUP(J37,'Advisor View'!$C$5:$G$113,5, FALSE), "")</f>
        <v/>
      </c>
      <c r="M37" s="94" t="str">
        <f>_xlfn.IFNA(VLOOKUP(J37,'Advisor View'!$C$5:$AM$113,19,0), "")</f>
        <v/>
      </c>
      <c r="O37" s="89" t="str" cm="1">
        <f t="array" ref="O37">IFERROR(_xlfn._xlws.FILTER('Advisor View'!$C$5:$C$113,'Advisor View'!$AN$5:$AN$113=1),"")</f>
        <v/>
      </c>
      <c r="P37" s="181" t="str">
        <f>IFERROR(VLOOKUP(O37,'Advisor View'!$C$5:$G$113,2, FALSE),"")</f>
        <v/>
      </c>
      <c r="Q37" s="181" t="str">
        <f>IFERROR(VLOOKUP(P37,'Advisor View'!$C$5:$G$113,2, FALSE),"")</f>
        <v/>
      </c>
      <c r="R37" s="104" t="str">
        <f>IFERROR(VLOOKUP(O37,'Advisor View'!$C$5:$G$113,5, FALSE), "")</f>
        <v/>
      </c>
      <c r="S37" s="106" t="str">
        <f>_xlfn.IFNA(VLOOKUP(O37,'Advisor View'!$C$5:$AM$113,10,0), "")</f>
        <v/>
      </c>
    </row>
    <row r="38" spans="2:19" x14ac:dyDescent="0.45">
      <c r="B38" s="84"/>
      <c r="C38" s="85" t="str">
        <f>IFERROR(VLOOKUP(B38,'Advisor View'!$C$5:$G$113,2, FALSE),"")</f>
        <v/>
      </c>
      <c r="D38" s="86" t="str">
        <f>IFERROR(VLOOKUP(B38,'Advisor View'!$C$5:$G$113,5, FALSE), "")</f>
        <v/>
      </c>
      <c r="E38" s="87" t="str">
        <f>_xlfn.IFNA(VLOOKUP(B38,'Advisor View'!$C$5:$AM$113,17,0), "")</f>
        <v/>
      </c>
      <c r="F38" s="83"/>
      <c r="G38" s="85" t="str">
        <f>IFERROR(VLOOKUP(F38,'Advisor View'!$C$5:$G$113,2, FALSE),"")</f>
        <v/>
      </c>
      <c r="H38" s="86" t="str">
        <f>IFERROR(VLOOKUP(F38,'Advisor View'!$C$5:$G$113,5, FALSE), "")</f>
        <v/>
      </c>
      <c r="I38" s="87" t="str">
        <f>_xlfn.IFNA(VLOOKUP(F38,'Advisor View'!$C$5:$AM$113,18,0), "")</f>
        <v/>
      </c>
      <c r="J38" s="85"/>
      <c r="K38" s="85" t="str">
        <f>IFERROR(VLOOKUP(J38,'Advisor View'!$C$5:$G$113,2, FALSE),"")</f>
        <v/>
      </c>
      <c r="L38" s="86" t="str">
        <f>IFERROR(VLOOKUP(J38,'Advisor View'!$C$5:$G$113,5, FALSE), "")</f>
        <v/>
      </c>
      <c r="M38" s="88" t="str">
        <f>_xlfn.IFNA(VLOOKUP(J38,'Advisor View'!$C$5:$AM$113,19,0), "")</f>
        <v/>
      </c>
      <c r="O38" s="81"/>
      <c r="P38" s="168" t="str">
        <f>IFERROR(VLOOKUP(O38,'Advisor View'!$C$5:$G$113,2, FALSE),"")</f>
        <v/>
      </c>
      <c r="Q38" s="168" t="str">
        <f>IFERROR(VLOOKUP(P38,'Advisor View'!$C$5:$G$113,2, FALSE),"")</f>
        <v/>
      </c>
      <c r="R38" s="69" t="str">
        <f>IFERROR(VLOOKUP(O38,'Advisor View'!$C$5:$G$113,5, FALSE), "")</f>
        <v/>
      </c>
      <c r="S38" s="107" t="str">
        <f>_xlfn.IFNA(VLOOKUP(O38,'Advisor View'!$C$5:$AM$113,10,0), "")</f>
        <v/>
      </c>
    </row>
    <row r="39" spans="2:19" x14ac:dyDescent="0.45">
      <c r="B39" s="84"/>
      <c r="C39" s="85" t="str">
        <f>IFERROR(VLOOKUP(B39,'Advisor View'!$C$5:$G$113,2, FALSE),"")</f>
        <v/>
      </c>
      <c r="D39" s="86" t="str">
        <f>IFERROR(VLOOKUP(B39,'Advisor View'!$C$5:$G$113,5, FALSE), "")</f>
        <v/>
      </c>
      <c r="E39" s="87" t="str">
        <f>_xlfn.IFNA(VLOOKUP(B39,'Advisor View'!$C$5:$AM$113,17,0), "")</f>
        <v/>
      </c>
      <c r="F39" s="83"/>
      <c r="G39" s="85" t="str">
        <f>IFERROR(VLOOKUP(F39,'Advisor View'!$C$5:$G$113,2, FALSE),"")</f>
        <v/>
      </c>
      <c r="H39" s="86" t="str">
        <f>IFERROR(VLOOKUP(F39,'Advisor View'!$C$5:$G$113,5, FALSE), "")</f>
        <v/>
      </c>
      <c r="I39" s="87" t="str">
        <f>_xlfn.IFNA(VLOOKUP(F39,'Advisor View'!$C$5:$AM$113,18,0), "")</f>
        <v/>
      </c>
      <c r="J39" s="85"/>
      <c r="K39" s="85" t="str">
        <f>IFERROR(VLOOKUP(J39,'Advisor View'!$C$5:$G$113,2, FALSE),"")</f>
        <v/>
      </c>
      <c r="L39" s="86" t="str">
        <f>IFERROR(VLOOKUP(J39,'Advisor View'!$C$5:$G$113,5, FALSE), "")</f>
        <v/>
      </c>
      <c r="M39" s="88" t="str">
        <f>_xlfn.IFNA(VLOOKUP(J39,'Advisor View'!$C$5:$AM$113,19,0), "")</f>
        <v/>
      </c>
      <c r="O39" s="81"/>
      <c r="P39" s="168" t="str">
        <f>IFERROR(VLOOKUP(O39,'Advisor View'!$C$5:$G$113,2, FALSE),"")</f>
        <v/>
      </c>
      <c r="Q39" s="168" t="str">
        <f>IFERROR(VLOOKUP(P39,'Advisor View'!$C$5:$G$113,2, FALSE),"")</f>
        <v/>
      </c>
      <c r="R39" s="69" t="str">
        <f>IFERROR(VLOOKUP(O39,'Advisor View'!$C$5:$G$113,5, FALSE), "")</f>
        <v/>
      </c>
      <c r="S39" s="107" t="str">
        <f>_xlfn.IFNA(VLOOKUP(O39,'Advisor View'!$C$5:$AM$113,10,0), "")</f>
        <v/>
      </c>
    </row>
    <row r="40" spans="2:19" x14ac:dyDescent="0.45">
      <c r="B40" s="84"/>
      <c r="C40" s="85" t="str">
        <f>IFERROR(VLOOKUP(B40,'Advisor View'!$C$5:$G$113,2, FALSE),"")</f>
        <v/>
      </c>
      <c r="D40" s="86" t="str">
        <f>IFERROR(VLOOKUP(B40,'Advisor View'!$C$5:$G$113,5, FALSE), "")</f>
        <v/>
      </c>
      <c r="E40" s="87" t="str">
        <f>_xlfn.IFNA(VLOOKUP(B40,'Advisor View'!$C$5:$AM$113,17,0), "")</f>
        <v/>
      </c>
      <c r="F40" s="83"/>
      <c r="G40" s="85" t="str">
        <f>IFERROR(VLOOKUP(F40,'Advisor View'!$C$5:$G$113,2, FALSE),"")</f>
        <v/>
      </c>
      <c r="H40" s="86" t="str">
        <f>IFERROR(VLOOKUP(F40,'Advisor View'!$C$5:$G$113,5, FALSE), "")</f>
        <v/>
      </c>
      <c r="I40" s="87" t="str">
        <f>_xlfn.IFNA(VLOOKUP(F40,'Advisor View'!$C$5:$AM$113,18,0), "")</f>
        <v/>
      </c>
      <c r="J40" s="85"/>
      <c r="K40" s="85" t="str">
        <f>IFERROR(VLOOKUP(J40,'Advisor View'!$C$5:$G$113,2, FALSE),"")</f>
        <v/>
      </c>
      <c r="L40" s="86" t="str">
        <f>IFERROR(VLOOKUP(J40,'Advisor View'!$C$5:$G$113,5, FALSE), "")</f>
        <v/>
      </c>
      <c r="M40" s="88" t="str">
        <f>_xlfn.IFNA(VLOOKUP(J40,'Advisor View'!$C$5:$AM$113,19,0), "")</f>
        <v/>
      </c>
      <c r="O40" s="81"/>
      <c r="P40" s="168" t="str">
        <f>IFERROR(VLOOKUP(O40,'Advisor View'!$C$5:$G$113,2, FALSE),"")</f>
        <v/>
      </c>
      <c r="Q40" s="168" t="str">
        <f>IFERROR(VLOOKUP(P40,'Advisor View'!$C$5:$G$113,2, FALSE),"")</f>
        <v/>
      </c>
      <c r="R40" s="69" t="str">
        <f>IFERROR(VLOOKUP(O40,'Advisor View'!$C$5:$G$113,5, FALSE), "")</f>
        <v/>
      </c>
      <c r="S40" s="107" t="str">
        <f>_xlfn.IFNA(VLOOKUP(O40,'Advisor View'!$C$5:$AM$113,10,0), "")</f>
        <v/>
      </c>
    </row>
    <row r="41" spans="2:19" x14ac:dyDescent="0.45">
      <c r="B41" s="84"/>
      <c r="C41" s="85" t="str">
        <f>IFERROR(VLOOKUP(B41,'Advisor View'!$C$5:$G$113,2, FALSE),"")</f>
        <v/>
      </c>
      <c r="D41" s="86" t="str">
        <f>IFERROR(VLOOKUP(B41,'Advisor View'!$C$5:$G$113,5, FALSE), "")</f>
        <v/>
      </c>
      <c r="E41" s="87" t="str">
        <f>_xlfn.IFNA(VLOOKUP(B41,'Advisor View'!$C$5:$AM$113,17,0), "")</f>
        <v/>
      </c>
      <c r="F41" s="154"/>
      <c r="G41" s="151" t="str">
        <f>IFERROR(VLOOKUP(F41,'Advisor View'!$C$5:$G$113,2, FALSE),"")</f>
        <v/>
      </c>
      <c r="H41" s="152" t="str">
        <f>IFERROR(VLOOKUP(F41,'Advisor View'!$C$5:$G$113,5, FALSE), "")</f>
        <v/>
      </c>
      <c r="I41" s="153" t="str">
        <f>_xlfn.IFNA(VLOOKUP(F41,'Advisor View'!$C$5:$AM$113,18,0), "")</f>
        <v/>
      </c>
      <c r="J41" s="85"/>
      <c r="K41" s="85" t="str">
        <f>IFERROR(VLOOKUP(J41,'Advisor View'!$C$5:$G$113,2, FALSE),"")</f>
        <v/>
      </c>
      <c r="L41" s="86" t="str">
        <f>IFERROR(VLOOKUP(J41,'Advisor View'!$C$5:$G$113,5, FALSE), "")</f>
        <v/>
      </c>
      <c r="M41" s="88" t="str">
        <f>_xlfn.IFNA(VLOOKUP(J41,'Advisor View'!$C$5:$AM$113,19,0), "")</f>
        <v/>
      </c>
      <c r="O41" s="81"/>
      <c r="P41" s="168" t="str">
        <f>IFERROR(VLOOKUP(O41,'Advisor View'!$C$5:$G$113,2, FALSE),"")</f>
        <v/>
      </c>
      <c r="Q41" s="168" t="str">
        <f>IFERROR(VLOOKUP(P41,'Advisor View'!$C$5:$G$113,2, FALSE),"")</f>
        <v/>
      </c>
      <c r="R41" s="69" t="str">
        <f>IFERROR(VLOOKUP(O41,'Advisor View'!$C$5:$G$113,5, FALSE), "")</f>
        <v/>
      </c>
      <c r="S41" s="107" t="str">
        <f>_xlfn.IFNA(VLOOKUP(O41,'Advisor View'!$C$5:$AM$113,10,0), "")</f>
        <v/>
      </c>
    </row>
    <row r="42" spans="2:19" x14ac:dyDescent="0.45">
      <c r="B42" s="84"/>
      <c r="C42" s="85" t="str">
        <f>IFERROR(VLOOKUP(B42,'Advisor View'!$C$5:$G$113,2, FALSE),"")</f>
        <v/>
      </c>
      <c r="D42" s="86" t="str">
        <f>IFERROR(VLOOKUP(B42,'Advisor View'!$C$5:$G$113,5, FALSE), "")</f>
        <v/>
      </c>
      <c r="E42" s="87" t="str">
        <f>_xlfn.IFNA(VLOOKUP(B42,'Advisor View'!$C$5:$AM$113,17,0), "")</f>
        <v/>
      </c>
      <c r="F42" s="83"/>
      <c r="G42" s="85" t="str">
        <f>IFERROR(VLOOKUP(F42,'Advisor View'!$C$5:$G$113,2, FALSE),"")</f>
        <v/>
      </c>
      <c r="H42" s="86" t="str">
        <f>IFERROR(VLOOKUP(F42,'Advisor View'!$C$5:$G$113,5, FALSE), "")</f>
        <v/>
      </c>
      <c r="I42" s="87" t="str">
        <f>_xlfn.IFNA(VLOOKUP(F42,'Advisor View'!$C$5:$AM$113,18,0), "")</f>
        <v/>
      </c>
      <c r="J42" s="85"/>
      <c r="K42" s="85" t="str">
        <f>IFERROR(VLOOKUP(J42,'Advisor View'!$C$5:$G$113,2, FALSE),"")</f>
        <v/>
      </c>
      <c r="L42" s="86" t="str">
        <f>IFERROR(VLOOKUP(J42,'Advisor View'!$C$5:$G$113,5, FALSE), "")</f>
        <v/>
      </c>
      <c r="M42" s="88" t="str">
        <f>_xlfn.IFNA(VLOOKUP(J42,'Advisor View'!$C$5:$AM$113,19,0), "")</f>
        <v/>
      </c>
      <c r="O42" s="81"/>
      <c r="P42" s="168" t="str">
        <f>IFERROR(VLOOKUP(O42,'Advisor View'!$C$5:$G$113,2, FALSE),"")</f>
        <v/>
      </c>
      <c r="Q42" s="168" t="str">
        <f>IFERROR(VLOOKUP(P42,'Advisor View'!$C$5:$G$113,2, FALSE),"")</f>
        <v/>
      </c>
      <c r="R42" s="69" t="str">
        <f>IFERROR(VLOOKUP(O42,'Advisor View'!$C$5:$G$113,5, FALSE), "")</f>
        <v/>
      </c>
      <c r="S42" s="107" t="str">
        <f>_xlfn.IFNA(VLOOKUP(O42,'Advisor View'!$C$5:$AM$113,10,0), "")</f>
        <v/>
      </c>
    </row>
    <row r="43" spans="2:19" x14ac:dyDescent="0.45">
      <c r="B43" s="84"/>
      <c r="C43" s="85" t="str">
        <f>IFERROR(VLOOKUP(B43,'Advisor View'!$C$5:$G$113,2, FALSE),"")</f>
        <v/>
      </c>
      <c r="D43" s="86" t="str">
        <f>IFERROR(VLOOKUP(B43,'Advisor View'!$C$5:$G$113,5, FALSE), "")</f>
        <v/>
      </c>
      <c r="E43" s="87" t="str">
        <f>_xlfn.IFNA(VLOOKUP(B43,'Advisor View'!$C$5:$AM$113,17,0), "")</f>
        <v/>
      </c>
      <c r="F43" s="83"/>
      <c r="G43" s="85" t="str">
        <f>IFERROR(VLOOKUP(F43,'Advisor View'!$C$5:$G$113,2, FALSE),"")</f>
        <v/>
      </c>
      <c r="H43" s="86" t="str">
        <f>IFERROR(VLOOKUP(F43,'Advisor View'!$C$5:$G$113,5, FALSE), "")</f>
        <v/>
      </c>
      <c r="I43" s="87" t="str">
        <f>_xlfn.IFNA(VLOOKUP(F43,'Advisor View'!$C$5:$AM$113,18,0), "")</f>
        <v/>
      </c>
      <c r="J43" s="85"/>
      <c r="K43" s="85" t="str">
        <f>IFERROR(VLOOKUP(J43,'Advisor View'!$C$5:$G$113,2, FALSE),"")</f>
        <v/>
      </c>
      <c r="L43" s="86" t="str">
        <f>IFERROR(VLOOKUP(J43,'Advisor View'!$C$5:$G$113,5, FALSE), "")</f>
        <v/>
      </c>
      <c r="M43" s="88" t="str">
        <f>_xlfn.IFNA(VLOOKUP(J43,'Advisor View'!$C$5:$AM$113,19,0), "")</f>
        <v/>
      </c>
      <c r="O43" s="81"/>
      <c r="P43" s="168" t="str">
        <f>IFERROR(VLOOKUP(O43,'Advisor View'!$C$5:$G$113,2, FALSE),"")</f>
        <v/>
      </c>
      <c r="Q43" s="168" t="str">
        <f>IFERROR(VLOOKUP(P43,'Advisor View'!$C$5:$G$113,2, FALSE),"")</f>
        <v/>
      </c>
      <c r="R43" s="69" t="str">
        <f>IFERROR(VLOOKUP(O43,'Advisor View'!$C$5:$G$113,5, FALSE), "")</f>
        <v/>
      </c>
      <c r="S43" s="107" t="str">
        <f>_xlfn.IFNA(VLOOKUP(O43,'Advisor View'!$C$5:$AM$113,10,0), "")</f>
        <v/>
      </c>
    </row>
    <row r="44" spans="2:19" x14ac:dyDescent="0.45">
      <c r="B44" s="84"/>
      <c r="C44" s="85" t="str">
        <f>IFERROR(VLOOKUP(B44,'Advisor View'!$C$5:$G$113,2, FALSE),"")</f>
        <v/>
      </c>
      <c r="D44" s="86" t="str">
        <f>IFERROR(VLOOKUP(B44,'Advisor View'!$C$5:$G$113,5, FALSE), "")</f>
        <v/>
      </c>
      <c r="E44" s="87" t="str">
        <f>_xlfn.IFNA(VLOOKUP(B44,'Advisor View'!$C$5:$AM$113,17,0), "")</f>
        <v/>
      </c>
      <c r="F44" s="83"/>
      <c r="G44" s="85" t="str">
        <f>IFERROR(VLOOKUP(F44,'Advisor View'!$C$5:$G$113,2, FALSE),"")</f>
        <v/>
      </c>
      <c r="H44" s="86" t="str">
        <f>IFERROR(VLOOKUP(F44,'Advisor View'!$C$5:$G$113,5, FALSE), "")</f>
        <v/>
      </c>
      <c r="I44" s="87" t="str">
        <f>_xlfn.IFNA(VLOOKUP(F44,'Advisor View'!$C$5:$AM$113,18,0), "")</f>
        <v/>
      </c>
      <c r="J44" s="85"/>
      <c r="K44" s="85" t="str">
        <f>IFERROR(VLOOKUP(J44,'Advisor View'!$C$5:$G$113,2, FALSE),"")</f>
        <v/>
      </c>
      <c r="L44" s="86" t="str">
        <f>IFERROR(VLOOKUP(J44,'Advisor View'!$C$5:$G$113,5, FALSE), "")</f>
        <v/>
      </c>
      <c r="M44" s="88" t="str">
        <f>_xlfn.IFNA(VLOOKUP(J44,'Advisor View'!$C$5:$AM$113,19,0), "")</f>
        <v/>
      </c>
      <c r="O44" s="81"/>
      <c r="P44" s="168" t="str">
        <f>IFERROR(VLOOKUP(O44,'Advisor View'!$C$5:$G$113,2, FALSE),"")</f>
        <v/>
      </c>
      <c r="Q44" s="168" t="str">
        <f>IFERROR(VLOOKUP(P44,'Advisor View'!$C$5:$G$113,2, FALSE),"")</f>
        <v/>
      </c>
      <c r="R44" s="69" t="str">
        <f>IFERROR(VLOOKUP(O44,'Advisor View'!$C$5:$G$113,5, FALSE), "")</f>
        <v/>
      </c>
      <c r="S44" s="107" t="str">
        <f>_xlfn.IFNA(VLOOKUP(O44,'Advisor View'!$C$5:$AM$113,10,0), "")</f>
        <v/>
      </c>
    </row>
    <row r="45" spans="2:19" ht="14.65" thickBot="1" x14ac:dyDescent="0.5">
      <c r="B45" s="84"/>
      <c r="C45" s="85" t="str">
        <f>IFERROR(VLOOKUP(B45,'Advisor View'!$C$5:$G$113,2, FALSE),"")</f>
        <v/>
      </c>
      <c r="D45" s="86" t="str">
        <f>IFERROR(VLOOKUP(B45,'Advisor View'!$C$5:$G$113,5, FALSE), "")</f>
        <v/>
      </c>
      <c r="E45" s="87" t="str">
        <f>_xlfn.IFNA(VLOOKUP(B45,'Advisor View'!$C$5:$AM$113,17,0), "")</f>
        <v/>
      </c>
      <c r="F45" s="83"/>
      <c r="G45" s="85" t="str">
        <f>IFERROR(VLOOKUP(F45,'Advisor View'!$C$5:$G$113,2, FALSE),"")</f>
        <v/>
      </c>
      <c r="H45" s="86" t="str">
        <f>IFERROR(VLOOKUP(F45,'Advisor View'!$C$5:$G$113,5, FALSE), "")</f>
        <v/>
      </c>
      <c r="I45" s="87" t="str">
        <f>_xlfn.IFNA(VLOOKUP(F45,'Advisor View'!$C$5:$AM$113,18,0), "")</f>
        <v/>
      </c>
      <c r="J45" s="85"/>
      <c r="K45" s="85" t="str">
        <f>IFERROR(VLOOKUP(J45,'Advisor View'!$C$5:$G$113,2, FALSE),"")</f>
        <v/>
      </c>
      <c r="L45" s="86" t="str">
        <f>IFERROR(VLOOKUP(J45,'Advisor View'!$C$5:$G$113,5, FALSE), "")</f>
        <v/>
      </c>
      <c r="M45" s="88" t="str">
        <f>_xlfn.IFNA(VLOOKUP(J45,'Advisor View'!$C$5:$AM$113,19,0), "")</f>
        <v/>
      </c>
      <c r="O45" s="81"/>
      <c r="P45" s="168" t="str">
        <f>IFERROR(VLOOKUP(O45,'Advisor View'!$C$5:$G$113,2, FALSE),"")</f>
        <v/>
      </c>
      <c r="Q45" s="168" t="str">
        <f>IFERROR(VLOOKUP(P45,'Advisor View'!$C$5:$G$113,2, FALSE),"")</f>
        <v/>
      </c>
      <c r="R45" s="69" t="str">
        <f>IFERROR(VLOOKUP(O45,'Advisor View'!$C$5:$G$113,5, FALSE), "")</f>
        <v/>
      </c>
      <c r="S45" s="107" t="str">
        <f>_xlfn.IFNA(VLOOKUP(O45,'Advisor View'!$C$5:$AM$113,10,0), "")</f>
        <v/>
      </c>
    </row>
    <row r="46" spans="2:19" ht="14.65" thickBot="1" x14ac:dyDescent="0.5">
      <c r="B46" s="182" t="str">
        <f>_xlfn.CONCAT(COUNTA(C37:C45)-COUNTBLANK(C37:C45), " Courses totaling ", SUM(D37:D45), " Units")</f>
        <v>0 Courses totaling 0 Units</v>
      </c>
      <c r="C46" s="183"/>
      <c r="D46" s="183"/>
      <c r="E46" s="183"/>
      <c r="F46" s="183" t="str">
        <f>_xlfn.CONCAT(COUNTA(G37:G45)-COUNTBLANK(G37:G45), " Courses totaling ", SUM(H37:H45), " Units")</f>
        <v>0 Courses totaling 0 Units</v>
      </c>
      <c r="G46" s="183"/>
      <c r="H46" s="183"/>
      <c r="I46" s="183"/>
      <c r="J46" s="184" t="str">
        <f>_xlfn.CONCAT(COUNTA(K37:K45)-COUNTBLANK(K37:K45), " Courses totaling ", SUM(L37:L45), " Units")</f>
        <v>0 Courses totaling 0 Units</v>
      </c>
      <c r="K46" s="183"/>
      <c r="L46" s="185"/>
      <c r="M46" s="186"/>
      <c r="O46" s="81"/>
      <c r="P46" s="168" t="str">
        <f>IFERROR(VLOOKUP(O46,'Advisor View'!$C$5:$G$113,2, FALSE),"")</f>
        <v/>
      </c>
      <c r="Q46" s="168" t="str">
        <f>IFERROR(VLOOKUP(P46,'Advisor View'!$C$5:$G$113,2, FALSE),"")</f>
        <v/>
      </c>
      <c r="R46" s="69" t="str">
        <f>IFERROR(VLOOKUP(O46,'Advisor View'!$C$5:$G$113,5, FALSE), "")</f>
        <v/>
      </c>
      <c r="S46" s="107" t="str">
        <f>_xlfn.IFNA(VLOOKUP(O46,'Advisor View'!$C$5:$AM$113,10,0), "")</f>
        <v/>
      </c>
    </row>
    <row r="47" spans="2:19" ht="14.65" thickBot="1" x14ac:dyDescent="0.5">
      <c r="O47" s="81"/>
      <c r="P47" s="168" t="str">
        <f>IFERROR(VLOOKUP(O47,'Advisor View'!$C$5:$G$113,2, FALSE),"")</f>
        <v/>
      </c>
      <c r="Q47" s="168" t="str">
        <f>IFERROR(VLOOKUP(P47,'Advisor View'!$C$5:$G$113,2, FALSE),"")</f>
        <v/>
      </c>
      <c r="R47" s="69" t="str">
        <f>IFERROR(VLOOKUP(O47,'Advisor View'!$C$5:$G$113,5, FALSE), "")</f>
        <v/>
      </c>
      <c r="S47" s="107" t="str">
        <f>_xlfn.IFNA(VLOOKUP(O47,'Advisor View'!$C$5:$AM$113,10,0), "")</f>
        <v/>
      </c>
    </row>
    <row r="48" spans="2:19" x14ac:dyDescent="0.45">
      <c r="B48" s="187" t="str">
        <f>_xlfn.CONCAT("YEAR 4: ", 'Student Profile'!$C$8+3, "-", 'Student Profile'!$C$8+4)</f>
        <v>YEAR 4: 2028-2029</v>
      </c>
      <c r="C48" s="188"/>
      <c r="D48" s="188"/>
      <c r="E48" s="188"/>
      <c r="F48" s="188"/>
      <c r="G48" s="188"/>
      <c r="H48" s="188"/>
      <c r="I48" s="188"/>
      <c r="J48" s="188"/>
      <c r="K48" s="188"/>
      <c r="L48" s="188"/>
      <c r="M48" s="189"/>
      <c r="O48" s="81"/>
      <c r="P48" s="168" t="str">
        <f>IFERROR(VLOOKUP(O48,'Advisor View'!$C$5:$G$113,2, FALSE),"")</f>
        <v/>
      </c>
      <c r="Q48" s="168" t="str">
        <f>IFERROR(VLOOKUP(P48,'Advisor View'!$C$5:$G$113,2, FALSE),"")</f>
        <v/>
      </c>
      <c r="R48" s="69" t="str">
        <f>IFERROR(VLOOKUP(O48,'Advisor View'!$C$5:$G$113,5, FALSE), "")</f>
        <v/>
      </c>
      <c r="S48" s="107" t="str">
        <f>_xlfn.IFNA(VLOOKUP(O48,'Advisor View'!$C$5:$AM$113,10,0), "")</f>
        <v/>
      </c>
    </row>
    <row r="49" spans="2:19" x14ac:dyDescent="0.45">
      <c r="B49" s="190" t="str">
        <f>_xlfn.CONCAT("FALL ", 'Student Profile'!$C$8+3)</f>
        <v>FALL 2028</v>
      </c>
      <c r="C49" s="191"/>
      <c r="D49" s="191"/>
      <c r="E49" s="191"/>
      <c r="F49" s="191" t="str">
        <f>_xlfn.CONCAT("SPRING ", 'Student Profile'!$C$8+4)</f>
        <v>SPRING 2029</v>
      </c>
      <c r="G49" s="191"/>
      <c r="H49" s="191"/>
      <c r="I49" s="191"/>
      <c r="J49" s="192" t="str">
        <f>_xlfn.CONCAT("SUMMER ", 'Student Profile'!$C$8+4)</f>
        <v>SUMMER 2029</v>
      </c>
      <c r="K49" s="191"/>
      <c r="L49" s="193"/>
      <c r="M49" s="194"/>
      <c r="O49" s="81"/>
      <c r="P49" s="168" t="str">
        <f>IFERROR(VLOOKUP(O49,'Advisor View'!$C$5:$G$113,2, FALSE),"")</f>
        <v/>
      </c>
      <c r="Q49" s="168" t="str">
        <f>IFERROR(VLOOKUP(P49,'Advisor View'!$C$5:$G$113,2, FALSE),"")</f>
        <v/>
      </c>
      <c r="R49" s="69" t="str">
        <f>IFERROR(VLOOKUP(O49,'Advisor View'!$C$5:$G$113,5, FALSE), "")</f>
        <v/>
      </c>
      <c r="S49" s="107" t="str">
        <f>_xlfn.IFNA(VLOOKUP(O49,'Advisor View'!$C$5:$AM$113,10,0), "")</f>
        <v/>
      </c>
    </row>
    <row r="50" spans="2:19" ht="14.65" thickBot="1" x14ac:dyDescent="0.5">
      <c r="B50" s="117" t="s">
        <v>62</v>
      </c>
      <c r="C50" s="118" t="s">
        <v>63</v>
      </c>
      <c r="D50" s="118" t="s">
        <v>64</v>
      </c>
      <c r="E50" s="118" t="s">
        <v>10</v>
      </c>
      <c r="F50" s="118" t="s">
        <v>62</v>
      </c>
      <c r="G50" s="118" t="s">
        <v>63</v>
      </c>
      <c r="H50" s="118" t="s">
        <v>64</v>
      </c>
      <c r="I50" s="118" t="s">
        <v>10</v>
      </c>
      <c r="J50" s="119" t="s">
        <v>62</v>
      </c>
      <c r="K50" s="118" t="s">
        <v>63</v>
      </c>
      <c r="L50" s="118" t="s">
        <v>64</v>
      </c>
      <c r="M50" s="121" t="s">
        <v>10</v>
      </c>
      <c r="O50" s="81"/>
      <c r="P50" s="168" t="str">
        <f>IFERROR(VLOOKUP(O50,'Advisor View'!$C$5:$G$113,2, FALSE),"")</f>
        <v/>
      </c>
      <c r="Q50" s="168" t="str">
        <f>IFERROR(VLOOKUP(P50,'Advisor View'!$C$5:$G$113,2, FALSE),"")</f>
        <v/>
      </c>
      <c r="R50" s="69" t="str">
        <f>IFERROR(VLOOKUP(O50,'Advisor View'!$C$5:$G$113,5, FALSE), "")</f>
        <v/>
      </c>
      <c r="S50" s="107" t="str">
        <f>_xlfn.IFNA(VLOOKUP(O50,'Advisor View'!$C$5:$AM$113,10,0), "")</f>
        <v/>
      </c>
    </row>
    <row r="51" spans="2:19" x14ac:dyDescent="0.45">
      <c r="B51" s="95" t="str" cm="1">
        <f t="array" ref="B51">IFERROR(_xlfn._xlws.FILTER('Advisor View'!$C$5:$C$113,'Advisor View'!$AN$5:$AN$113=11),"")</f>
        <v/>
      </c>
      <c r="C51" s="96" t="str">
        <f>IFERROR(VLOOKUP(B51,'Advisor View'!$C$5:$G$113,2, FALSE),"")</f>
        <v/>
      </c>
      <c r="D51" s="91" t="str">
        <f>IFERROR(VLOOKUP(B51,'Advisor View'!$C$5:$G$113,5, FALSE), "")</f>
        <v/>
      </c>
      <c r="E51" s="92" t="str">
        <f>_xlfn.IFNA(VLOOKUP(B51,'Advisor View'!$C$5:$AM$113,20,0), "")</f>
        <v/>
      </c>
      <c r="F51" s="97" t="str" cm="1">
        <f t="array" ref="F51">IFERROR(_xlfn._xlws.FILTER('Advisor View'!$C$5:$C$113,'Advisor View'!$AN$5:$AN$113=12),"")</f>
        <v/>
      </c>
      <c r="G51" s="96" t="str">
        <f>IFERROR(VLOOKUP(F51,'Advisor View'!$C$5:$G$113,2, FALSE),"")</f>
        <v/>
      </c>
      <c r="H51" s="91" t="str">
        <f>IFERROR(VLOOKUP(F51,'Advisor View'!$C$5:$G$113,5, FALSE), "")</f>
        <v/>
      </c>
      <c r="I51" s="92" t="str">
        <f>_xlfn.IFNA(VLOOKUP(F51,'Advisor View'!$C$5:$AM$113,21,0), "")</f>
        <v/>
      </c>
      <c r="J51" s="96" t="str" cm="1">
        <f t="array" ref="J51">IFERROR(_xlfn._xlws.FILTER('Advisor View'!$C$5:$C$113,'Advisor View'!$AN$5:$AN$113=13), "")</f>
        <v/>
      </c>
      <c r="K51" s="96" t="str">
        <f>IFERROR(VLOOKUP(J51,'Advisor View'!$C$5:$G$113,2, FALSE),"")</f>
        <v/>
      </c>
      <c r="L51" s="91" t="str">
        <f>IFERROR(VLOOKUP(J51,'Advisor View'!$C$5:$G$113,5, FALSE), "")</f>
        <v/>
      </c>
      <c r="M51" s="94" t="str">
        <f>_xlfn.IFNA(VLOOKUP(J51,'Advisor View'!$C$5:$AM$113,22,0), "")</f>
        <v/>
      </c>
      <c r="O51" s="81"/>
      <c r="P51" s="168" t="str">
        <f>IFERROR(VLOOKUP(O51,'Advisor View'!$C$5:$G$113,2, FALSE),"")</f>
        <v/>
      </c>
      <c r="Q51" s="168" t="str">
        <f>IFERROR(VLOOKUP(P51,'Advisor View'!$C$5:$G$113,2, FALSE),"")</f>
        <v/>
      </c>
      <c r="R51" s="69" t="str">
        <f>IFERROR(VLOOKUP(O51,'Advisor View'!$C$5:$G$113,5, FALSE), "")</f>
        <v/>
      </c>
      <c r="S51" s="107" t="str">
        <f>_xlfn.IFNA(VLOOKUP(O51,'Advisor View'!$C$5:$AM$113,10,0), "")</f>
        <v/>
      </c>
    </row>
    <row r="52" spans="2:19" x14ac:dyDescent="0.45">
      <c r="B52" s="84"/>
      <c r="C52" s="85" t="str">
        <f>IFERROR(VLOOKUP(B52,'Advisor View'!$C$5:$G$113,2, FALSE),"")</f>
        <v/>
      </c>
      <c r="D52" s="86" t="str">
        <f>IFERROR(VLOOKUP(B52,'Advisor View'!$C$5:$G$113,5, FALSE), "")</f>
        <v/>
      </c>
      <c r="E52" s="87" t="str">
        <f>_xlfn.IFNA(VLOOKUP(B52,'Advisor View'!$C$5:$AM$113,20,0), "")</f>
        <v/>
      </c>
      <c r="F52" s="83"/>
      <c r="G52" s="85" t="str">
        <f>IFERROR(VLOOKUP(F52,'Advisor View'!$C$5:$G$113,2, FALSE),"")</f>
        <v/>
      </c>
      <c r="H52" s="86" t="str">
        <f>IFERROR(VLOOKUP(F52,'Advisor View'!$C$5:$G$113,5, FALSE), "")</f>
        <v/>
      </c>
      <c r="I52" s="87" t="str">
        <f>_xlfn.IFNA(VLOOKUP(F52,'Advisor View'!$C$5:$AM$113,21,0), "")</f>
        <v/>
      </c>
      <c r="J52" s="85"/>
      <c r="K52" s="85" t="str">
        <f>IFERROR(VLOOKUP(J52,'Advisor View'!$C$5:$G$113,2, FALSE),"")</f>
        <v/>
      </c>
      <c r="L52" s="86" t="str">
        <f>IFERROR(VLOOKUP(J52,'Advisor View'!$C$5:$G$113,5, FALSE), "")</f>
        <v/>
      </c>
      <c r="M52" s="88" t="str">
        <f>_xlfn.IFNA(VLOOKUP(J52,'Advisor View'!$C$5:$AM$113,22,0), "")</f>
        <v/>
      </c>
      <c r="O52" s="81"/>
      <c r="P52" s="168" t="str">
        <f>IFERROR(VLOOKUP(O52,'Advisor View'!$C$5:$G$113,2, FALSE),"")</f>
        <v/>
      </c>
      <c r="Q52" s="168" t="str">
        <f>IFERROR(VLOOKUP(P52,'Advisor View'!$C$5:$G$113,2, FALSE),"")</f>
        <v/>
      </c>
      <c r="R52" s="69" t="str">
        <f>IFERROR(VLOOKUP(O52,'Advisor View'!$C$5:$G$113,5, FALSE), "")</f>
        <v/>
      </c>
      <c r="S52" s="107" t="str">
        <f>_xlfn.IFNA(VLOOKUP(O52,'Advisor View'!$C$5:$AM$113,10,0), "")</f>
        <v/>
      </c>
    </row>
    <row r="53" spans="2:19" x14ac:dyDescent="0.45">
      <c r="B53" s="84"/>
      <c r="C53" s="85" t="str">
        <f>IFERROR(VLOOKUP(B53,'Advisor View'!$C$5:$G$113,2, FALSE),"")</f>
        <v/>
      </c>
      <c r="D53" s="86" t="str">
        <f>IFERROR(VLOOKUP(B53,'Advisor View'!$C$5:$G$113,5, FALSE), "")</f>
        <v/>
      </c>
      <c r="E53" s="87" t="str">
        <f>_xlfn.IFNA(VLOOKUP(B53,'Advisor View'!$C$5:$AM$113,20,0), "")</f>
        <v/>
      </c>
      <c r="F53" s="83"/>
      <c r="G53" s="85" t="str">
        <f>IFERROR(VLOOKUP(F53,'Advisor View'!$C$5:$G$113,2, FALSE),"")</f>
        <v/>
      </c>
      <c r="H53" s="86" t="str">
        <f>IFERROR(VLOOKUP(F53,'Advisor View'!$C$5:$G$113,5, FALSE), "")</f>
        <v/>
      </c>
      <c r="I53" s="87" t="str">
        <f>_xlfn.IFNA(VLOOKUP(F53,'Advisor View'!$C$5:$AM$113,21,0), "")</f>
        <v/>
      </c>
      <c r="J53" s="85"/>
      <c r="K53" s="85" t="str">
        <f>IFERROR(VLOOKUP(J53,'Advisor View'!$C$5:$G$113,2, FALSE),"")</f>
        <v/>
      </c>
      <c r="L53" s="86" t="str">
        <f>IFERROR(VLOOKUP(J53,'Advisor View'!$C$5:$G$113,5, FALSE), "")</f>
        <v/>
      </c>
      <c r="M53" s="88" t="str">
        <f>_xlfn.IFNA(VLOOKUP(J53,'Advisor View'!$C$5:$AM$113,22,0), "")</f>
        <v/>
      </c>
      <c r="O53" s="81"/>
      <c r="P53" s="168" t="str">
        <f>IFERROR(VLOOKUP(O53,'Advisor View'!$C$5:$G$113,2, FALSE),"")</f>
        <v/>
      </c>
      <c r="Q53" s="168" t="str">
        <f>IFERROR(VLOOKUP(P53,'Advisor View'!$C$5:$G$113,2, FALSE),"")</f>
        <v/>
      </c>
      <c r="R53" s="69" t="str">
        <f>IFERROR(VLOOKUP(O53,'Advisor View'!$C$5:$G$113,5, FALSE), "")</f>
        <v/>
      </c>
      <c r="S53" s="107" t="str">
        <f>_xlfn.IFNA(VLOOKUP(O53,'Advisor View'!$C$5:$AM$113,10,0), "")</f>
        <v/>
      </c>
    </row>
    <row r="54" spans="2:19" x14ac:dyDescent="0.45">
      <c r="B54" s="84"/>
      <c r="C54" s="85" t="str">
        <f>IFERROR(VLOOKUP(B54,'Advisor View'!$C$5:$G$113,2, FALSE),"")</f>
        <v/>
      </c>
      <c r="D54" s="86" t="str">
        <f>IFERROR(VLOOKUP(B54,'Advisor View'!$C$5:$G$113,5, FALSE), "")</f>
        <v/>
      </c>
      <c r="E54" s="87" t="str">
        <f>_xlfn.IFNA(VLOOKUP(B54,'Advisor View'!$C$5:$AM$113,20,0), "")</f>
        <v/>
      </c>
      <c r="F54" s="154"/>
      <c r="G54" s="151" t="str">
        <f>IFERROR(VLOOKUP(F54,'Advisor View'!$C$5:$G$113,2, FALSE),"")</f>
        <v/>
      </c>
      <c r="H54" s="152" t="str">
        <f>IFERROR(VLOOKUP(F54,'Advisor View'!$C$5:$G$113,5, FALSE), "")</f>
        <v/>
      </c>
      <c r="I54" s="153" t="str">
        <f>_xlfn.IFNA(VLOOKUP(F54,'Advisor View'!$C$5:$AM$113,21,0), "")</f>
        <v/>
      </c>
      <c r="J54" s="85"/>
      <c r="K54" s="85" t="str">
        <f>IFERROR(VLOOKUP(J54,'Advisor View'!$C$5:$G$113,2, FALSE),"")</f>
        <v/>
      </c>
      <c r="L54" s="86" t="str">
        <f>IFERROR(VLOOKUP(J54,'Advisor View'!$C$5:$G$113,5, FALSE), "")</f>
        <v/>
      </c>
      <c r="M54" s="88" t="str">
        <f>_xlfn.IFNA(VLOOKUP(J54,'Advisor View'!$C$5:$AM$113,22,0), "")</f>
        <v/>
      </c>
      <c r="O54" s="81"/>
      <c r="P54" s="168" t="str">
        <f>IFERROR(VLOOKUP(O54,'Advisor View'!$C$5:$G$113,2, FALSE),"")</f>
        <v/>
      </c>
      <c r="Q54" s="168" t="str">
        <f>IFERROR(VLOOKUP(P54,'Advisor View'!$C$5:$G$113,2, FALSE),"")</f>
        <v/>
      </c>
      <c r="R54" s="69" t="str">
        <f>IFERROR(VLOOKUP(O54,'Advisor View'!$C$5:$G$113,5, FALSE), "")</f>
        <v/>
      </c>
      <c r="S54" s="107" t="str">
        <f>_xlfn.IFNA(VLOOKUP(O54,'Advisor View'!$C$5:$AM$113,10,0), "")</f>
        <v/>
      </c>
    </row>
    <row r="55" spans="2:19" x14ac:dyDescent="0.45">
      <c r="B55" s="150"/>
      <c r="C55" s="151" t="str">
        <f>IFERROR(VLOOKUP(B55,'Advisor View'!$C$5:$G$113,2, FALSE),"")</f>
        <v/>
      </c>
      <c r="D55" s="152" t="str">
        <f>IFERROR(VLOOKUP(B55,'Advisor View'!$C$5:$G$113,5, FALSE), "")</f>
        <v/>
      </c>
      <c r="E55" s="153" t="str">
        <f>_xlfn.IFNA(VLOOKUP(B55,'Advisor View'!$C$5:$AM$113,20,0), "")</f>
        <v/>
      </c>
      <c r="F55" s="154"/>
      <c r="G55" s="151" t="str">
        <f>IFERROR(VLOOKUP(F55,'Advisor View'!$C$5:$G$113,2, FALSE),"")</f>
        <v/>
      </c>
      <c r="H55" s="152" t="str">
        <f>IFERROR(VLOOKUP(F55,'Advisor View'!$C$5:$G$113,5, FALSE), "")</f>
        <v/>
      </c>
      <c r="I55" s="153" t="str">
        <f>_xlfn.IFNA(VLOOKUP(F55,'Advisor View'!$C$5:$AM$113,21,0), "")</f>
        <v/>
      </c>
      <c r="J55" s="85"/>
      <c r="K55" s="85" t="str">
        <f>IFERROR(VLOOKUP(J55,'Advisor View'!$C$5:$G$113,2, FALSE),"")</f>
        <v/>
      </c>
      <c r="L55" s="86" t="str">
        <f>IFERROR(VLOOKUP(J55,'Advisor View'!$C$5:$G$113,5, FALSE), "")</f>
        <v/>
      </c>
      <c r="M55" s="88" t="str">
        <f>_xlfn.IFNA(VLOOKUP(J55,'Advisor View'!$C$5:$AM$113,22,0), "")</f>
        <v/>
      </c>
      <c r="O55" s="81"/>
      <c r="P55" s="168" t="str">
        <f>IFERROR(VLOOKUP(O55,'Advisor View'!$C$5:$G$113,2, FALSE),"")</f>
        <v/>
      </c>
      <c r="Q55" s="168" t="str">
        <f>IFERROR(VLOOKUP(P55,'Advisor View'!$C$5:$G$113,2, FALSE),"")</f>
        <v/>
      </c>
      <c r="R55" s="69" t="str">
        <f>IFERROR(VLOOKUP(O55,'Advisor View'!$C$5:$G$113,5, FALSE), "")</f>
        <v/>
      </c>
      <c r="S55" s="107" t="str">
        <f>_xlfn.IFNA(VLOOKUP(O55,'Advisor View'!$C$5:$AM$113,10,0), "")</f>
        <v/>
      </c>
    </row>
    <row r="56" spans="2:19" x14ac:dyDescent="0.45">
      <c r="B56" s="84"/>
      <c r="C56" s="85" t="str">
        <f>IFERROR(VLOOKUP(B56,'Advisor View'!$C$5:$G$113,2, FALSE),"")</f>
        <v/>
      </c>
      <c r="D56" s="86" t="str">
        <f>IFERROR(VLOOKUP(B56,'Advisor View'!$C$5:$G$113,5, FALSE), "")</f>
        <v/>
      </c>
      <c r="E56" s="87" t="str">
        <f>_xlfn.IFNA(VLOOKUP(B56,'Advisor View'!$C$5:$AM$113,20,0), "")</f>
        <v/>
      </c>
      <c r="F56" s="83"/>
      <c r="G56" s="85" t="str">
        <f>IFERROR(VLOOKUP(F56,'Advisor View'!$C$5:$G$113,2, FALSE),"")</f>
        <v/>
      </c>
      <c r="H56" s="86" t="str">
        <f>IFERROR(VLOOKUP(F56,'Advisor View'!$C$5:$G$113,5, FALSE), "")</f>
        <v/>
      </c>
      <c r="I56" s="87" t="str">
        <f>_xlfn.IFNA(VLOOKUP(F56,'Advisor View'!$C$5:$AM$113,21,0), "")</f>
        <v/>
      </c>
      <c r="J56" s="85"/>
      <c r="K56" s="85" t="str">
        <f>IFERROR(VLOOKUP(J56,'Advisor View'!$C$5:$G$113,2, FALSE),"")</f>
        <v/>
      </c>
      <c r="L56" s="86" t="str">
        <f>IFERROR(VLOOKUP(J56,'Advisor View'!$C$5:$G$113,5, FALSE), "")</f>
        <v/>
      </c>
      <c r="M56" s="88" t="str">
        <f>_xlfn.IFNA(VLOOKUP(J56,'Advisor View'!$C$5:$AM$113,22,0), "")</f>
        <v/>
      </c>
      <c r="O56" s="81"/>
      <c r="P56" s="168" t="str">
        <f>IFERROR(VLOOKUP(O56,'Advisor View'!$C$5:$G$113,2, FALSE),"")</f>
        <v/>
      </c>
      <c r="Q56" s="168" t="str">
        <f>IFERROR(VLOOKUP(P56,'Advisor View'!$C$5:$G$113,2, FALSE),"")</f>
        <v/>
      </c>
      <c r="R56" s="69" t="str">
        <f>IFERROR(VLOOKUP(O56,'Advisor View'!$C$5:$G$113,5, FALSE), "")</f>
        <v/>
      </c>
      <c r="S56" s="107" t="str">
        <f>_xlfn.IFNA(VLOOKUP(O56,'Advisor View'!$C$5:$AM$113,10,0), "")</f>
        <v/>
      </c>
    </row>
    <row r="57" spans="2:19" x14ac:dyDescent="0.45">
      <c r="B57" s="84"/>
      <c r="C57" s="85" t="str">
        <f>IFERROR(VLOOKUP(B57,'Advisor View'!$C$5:$G$113,2, FALSE),"")</f>
        <v/>
      </c>
      <c r="D57" s="86" t="str">
        <f>IFERROR(VLOOKUP(B57,'Advisor View'!$C$5:$G$113,5, FALSE), "")</f>
        <v/>
      </c>
      <c r="E57" s="87" t="str">
        <f>_xlfn.IFNA(VLOOKUP(B57,'Advisor View'!$C$5:$AM$113,20,0), "")</f>
        <v/>
      </c>
      <c r="F57" s="83"/>
      <c r="G57" s="85" t="str">
        <f>IFERROR(VLOOKUP(F57,'Advisor View'!$C$5:$G$113,2, FALSE),"")</f>
        <v/>
      </c>
      <c r="H57" s="86" t="str">
        <f>IFERROR(VLOOKUP(F57,'Advisor View'!$C$5:$G$113,5, FALSE), "")</f>
        <v/>
      </c>
      <c r="I57" s="87" t="str">
        <f>_xlfn.IFNA(VLOOKUP(F57,'Advisor View'!$C$5:$AM$113,21,0), "")</f>
        <v/>
      </c>
      <c r="J57" s="85"/>
      <c r="K57" s="85" t="str">
        <f>IFERROR(VLOOKUP(J57,'Advisor View'!$C$5:$G$113,2, FALSE),"")</f>
        <v/>
      </c>
      <c r="L57" s="86" t="str">
        <f>IFERROR(VLOOKUP(J57,'Advisor View'!$C$5:$G$113,5, FALSE), "")</f>
        <v/>
      </c>
      <c r="M57" s="88" t="str">
        <f>_xlfn.IFNA(VLOOKUP(J57,'Advisor View'!$C$5:$AM$113,22,0), "")</f>
        <v/>
      </c>
      <c r="O57" s="81"/>
      <c r="P57" s="168" t="str">
        <f>IFERROR(VLOOKUP(O57,'Advisor View'!$C$5:$G$113,2, FALSE),"")</f>
        <v/>
      </c>
      <c r="Q57" s="168" t="str">
        <f>IFERROR(VLOOKUP(P57,'Advisor View'!$C$5:$G$113,2, FALSE),"")</f>
        <v/>
      </c>
      <c r="R57" s="69" t="str">
        <f>IFERROR(VLOOKUP(O57,'Advisor View'!$C$5:$G$113,5, FALSE), "")</f>
        <v/>
      </c>
      <c r="S57" s="107" t="str">
        <f>_xlfn.IFNA(VLOOKUP(O57,'Advisor View'!$C$5:$AM$113,10,0), "")</f>
        <v/>
      </c>
    </row>
    <row r="58" spans="2:19" x14ac:dyDescent="0.45">
      <c r="B58" s="84"/>
      <c r="C58" s="85" t="str">
        <f>IFERROR(VLOOKUP(B58,'Advisor View'!$C$5:$G$113,2, FALSE),"")</f>
        <v/>
      </c>
      <c r="D58" s="86" t="str">
        <f>IFERROR(VLOOKUP(B58,'Advisor View'!$C$5:$G$113,5, FALSE), "")</f>
        <v/>
      </c>
      <c r="E58" s="87" t="str">
        <f>_xlfn.IFNA(VLOOKUP(B58,'Advisor View'!$C$5:$AM$113,20,0), "")</f>
        <v/>
      </c>
      <c r="F58" s="83"/>
      <c r="G58" s="85" t="str">
        <f>IFERROR(VLOOKUP(F58,'Advisor View'!$C$5:$G$113,2, FALSE),"")</f>
        <v/>
      </c>
      <c r="H58" s="86" t="str">
        <f>IFERROR(VLOOKUP(F58,'Advisor View'!$C$5:$G$113,5, FALSE), "")</f>
        <v/>
      </c>
      <c r="I58" s="87" t="str">
        <f>_xlfn.IFNA(VLOOKUP(F58,'Advisor View'!$C$5:$AM$113,21,0), "")</f>
        <v/>
      </c>
      <c r="J58" s="85"/>
      <c r="K58" s="85" t="str">
        <f>IFERROR(VLOOKUP(J58,'Advisor View'!$C$5:$G$113,2, FALSE),"")</f>
        <v/>
      </c>
      <c r="L58" s="86" t="str">
        <f>IFERROR(VLOOKUP(J58,'Advisor View'!$C$5:$G$113,5, FALSE), "")</f>
        <v/>
      </c>
      <c r="M58" s="88" t="str">
        <f>_xlfn.IFNA(VLOOKUP(J58,'Advisor View'!$C$5:$AM$113,22,0), "")</f>
        <v/>
      </c>
      <c r="O58" s="81"/>
      <c r="P58" s="168" t="str">
        <f>IFERROR(VLOOKUP(O58,'Advisor View'!$C$5:$G$113,2, FALSE),"")</f>
        <v/>
      </c>
      <c r="Q58" s="168" t="str">
        <f>IFERROR(VLOOKUP(P58,'Advisor View'!$C$5:$G$113,2, FALSE),"")</f>
        <v/>
      </c>
      <c r="R58" s="69" t="str">
        <f>IFERROR(VLOOKUP(O58,'Advisor View'!$C$5:$G$113,5, FALSE), "")</f>
        <v/>
      </c>
      <c r="S58" s="107" t="str">
        <f>_xlfn.IFNA(VLOOKUP(O58,'Advisor View'!$C$5:$AM$113,10,0), "")</f>
        <v/>
      </c>
    </row>
    <row r="59" spans="2:19" ht="14.65" thickBot="1" x14ac:dyDescent="0.5">
      <c r="B59" s="84"/>
      <c r="C59" s="85" t="str">
        <f>IFERROR(VLOOKUP(B59,'Advisor View'!$C$5:$G$113,2, FALSE),"")</f>
        <v/>
      </c>
      <c r="D59" s="86" t="str">
        <f>IFERROR(VLOOKUP(B59,'Advisor View'!$C$5:$G$113,5, FALSE), "")</f>
        <v/>
      </c>
      <c r="E59" s="87" t="str">
        <f>_xlfn.IFNA(VLOOKUP(B59,'Advisor View'!$C$5:$AM$113,20,0), "")</f>
        <v/>
      </c>
      <c r="F59" s="83"/>
      <c r="G59" s="85" t="str">
        <f>IFERROR(VLOOKUP(F59,'Advisor View'!$C$5:$G$113,2, FALSE),"")</f>
        <v/>
      </c>
      <c r="H59" s="86" t="str">
        <f>IFERROR(VLOOKUP(F59,'Advisor View'!$C$5:$G$113,5, FALSE), "")</f>
        <v/>
      </c>
      <c r="I59" s="87" t="str">
        <f>_xlfn.IFNA(VLOOKUP(F59,'Advisor View'!$C$5:$AM$113,21,0), "")</f>
        <v/>
      </c>
      <c r="J59" s="85"/>
      <c r="K59" s="85" t="str">
        <f>IFERROR(VLOOKUP(J59,'Advisor View'!$C$5:$G$113,2, FALSE),"")</f>
        <v/>
      </c>
      <c r="L59" s="86" t="str">
        <f>IFERROR(VLOOKUP(J59,'Advisor View'!$C$5:$G$113,5, FALSE), "")</f>
        <v/>
      </c>
      <c r="M59" s="88" t="str">
        <f>_xlfn.IFNA(VLOOKUP(J59,'Advisor View'!$C$5:$AM$113,22,0), "")</f>
        <v/>
      </c>
      <c r="O59" s="81"/>
      <c r="P59" s="168" t="str">
        <f>IFERROR(VLOOKUP(O59,'Advisor View'!$C$5:$G$113,2, FALSE),"")</f>
        <v/>
      </c>
      <c r="Q59" s="168" t="str">
        <f>IFERROR(VLOOKUP(P59,'Advisor View'!$C$5:$G$113,2, FALSE),"")</f>
        <v/>
      </c>
      <c r="R59" s="69" t="str">
        <f>IFERROR(VLOOKUP(O59,'Advisor View'!$C$5:$G$113,5, FALSE), "")</f>
        <v/>
      </c>
      <c r="S59" s="107" t="str">
        <f>_xlfn.IFNA(VLOOKUP(O59,'Advisor View'!$C$5:$AM$113,10,0), "")</f>
        <v/>
      </c>
    </row>
    <row r="60" spans="2:19" ht="14.65" thickBot="1" x14ac:dyDescent="0.5">
      <c r="B60" s="182" t="str">
        <f>_xlfn.CONCAT(COUNTA(C51:C59)-COUNTBLANK(C51:C59), " Courses totaling ", SUM(D51:D59), " Units")</f>
        <v>0 Courses totaling 0 Units</v>
      </c>
      <c r="C60" s="183"/>
      <c r="D60" s="183"/>
      <c r="E60" s="183"/>
      <c r="F60" s="183" t="str">
        <f>_xlfn.CONCAT(COUNTA(G51:G59)-COUNTBLANK(G51:G59), " Courses totaling ", SUM(H51:H59), " Units")</f>
        <v>0 Courses totaling 0 Units</v>
      </c>
      <c r="G60" s="183"/>
      <c r="H60" s="183"/>
      <c r="I60" s="183"/>
      <c r="J60" s="184" t="str">
        <f>_xlfn.CONCAT(COUNTA(K51:K59)-COUNTBLANK(K51:K59), " Courses totaling ", SUM(L51:L59), " Units")</f>
        <v>0 Courses totaling 0 Units</v>
      </c>
      <c r="K60" s="183"/>
      <c r="L60" s="185"/>
      <c r="M60" s="186"/>
      <c r="O60" s="81"/>
      <c r="P60" s="168" t="str">
        <f>IFERROR(VLOOKUP(O60,'Advisor View'!$C$5:$G$113,2, FALSE),"")</f>
        <v/>
      </c>
      <c r="Q60" s="168" t="str">
        <f>IFERROR(VLOOKUP(P60,'Advisor View'!$C$5:$G$113,2, FALSE),"")</f>
        <v/>
      </c>
      <c r="R60" s="69" t="str">
        <f>IFERROR(VLOOKUP(O60,'Advisor View'!$C$5:$G$113,5, FALSE), "")</f>
        <v/>
      </c>
      <c r="S60" s="107" t="str">
        <f>_xlfn.IFNA(VLOOKUP(O60,'Advisor View'!$C$5:$AM$113,10,0), "")</f>
        <v/>
      </c>
    </row>
    <row r="61" spans="2:19" ht="14.65" thickBot="1" x14ac:dyDescent="0.5">
      <c r="O61" s="81"/>
      <c r="P61" s="168" t="str">
        <f>IFERROR(VLOOKUP(O61,'Advisor View'!$C$5:$G$113,2, FALSE),"")</f>
        <v/>
      </c>
      <c r="Q61" s="168" t="str">
        <f>IFERROR(VLOOKUP(P61,'Advisor View'!$C$5:$G$113,2, FALSE),"")</f>
        <v/>
      </c>
      <c r="R61" s="69" t="str">
        <f>IFERROR(VLOOKUP(O61,'Advisor View'!$C$5:$G$113,5, FALSE), "")</f>
        <v/>
      </c>
      <c r="S61" s="107" t="str">
        <f>_xlfn.IFNA(VLOOKUP(O61,'Advisor View'!$C$5:$AM$113,10,0), "")</f>
        <v/>
      </c>
    </row>
    <row r="62" spans="2:19" x14ac:dyDescent="0.45">
      <c r="B62" s="187" t="str">
        <f>_xlfn.CONCAT("YEAR 5: ", 'Student Profile'!$C$8+4, "-", 'Student Profile'!$C$8+5)</f>
        <v>YEAR 5: 2029-2030</v>
      </c>
      <c r="C62" s="188"/>
      <c r="D62" s="188"/>
      <c r="E62" s="188"/>
      <c r="F62" s="188"/>
      <c r="G62" s="188"/>
      <c r="H62" s="188"/>
      <c r="I62" s="188"/>
      <c r="J62" s="188"/>
      <c r="K62" s="188"/>
      <c r="L62" s="188"/>
      <c r="M62" s="189"/>
      <c r="O62" s="81"/>
      <c r="P62" s="168" t="str">
        <f>IFERROR(VLOOKUP(O62,'Advisor View'!$C$5:$G$113,2, FALSE),"")</f>
        <v/>
      </c>
      <c r="Q62" s="168" t="str">
        <f>IFERROR(VLOOKUP(P62,'Advisor View'!$C$5:$G$113,2, FALSE),"")</f>
        <v/>
      </c>
      <c r="R62" s="69" t="str">
        <f>IFERROR(VLOOKUP(O62,'Advisor View'!$C$5:$G$113,5, FALSE), "")</f>
        <v/>
      </c>
      <c r="S62" s="107" t="str">
        <f>_xlfn.IFNA(VLOOKUP(O62,'Advisor View'!$C$5:$AM$113,10,0), "")</f>
        <v/>
      </c>
    </row>
    <row r="63" spans="2:19" x14ac:dyDescent="0.45">
      <c r="B63" s="190" t="str">
        <f>_xlfn.CONCAT("FALL ", 'Student Profile'!$C$8+4)</f>
        <v>FALL 2029</v>
      </c>
      <c r="C63" s="191"/>
      <c r="D63" s="191"/>
      <c r="E63" s="191"/>
      <c r="F63" s="191" t="str">
        <f>_xlfn.CONCAT("SPRING ", 'Student Profile'!$C$8+5)</f>
        <v>SPRING 2030</v>
      </c>
      <c r="G63" s="191"/>
      <c r="H63" s="191"/>
      <c r="I63" s="191"/>
      <c r="J63" s="192" t="str">
        <f>_xlfn.CONCAT("SUMMER ", 'Student Profile'!$C$8+5)</f>
        <v>SUMMER 2030</v>
      </c>
      <c r="K63" s="191"/>
      <c r="L63" s="193"/>
      <c r="M63" s="194"/>
      <c r="O63" s="81"/>
      <c r="P63" s="168" t="str">
        <f>IFERROR(VLOOKUP(O63,'Advisor View'!$C$5:$G$113,2, FALSE),"")</f>
        <v/>
      </c>
      <c r="Q63" s="168" t="str">
        <f>IFERROR(VLOOKUP(P63,'Advisor View'!$C$5:$G$113,2, FALSE),"")</f>
        <v/>
      </c>
      <c r="R63" s="69" t="str">
        <f>IFERROR(VLOOKUP(O63,'Advisor View'!$C$5:$G$113,5, FALSE), "")</f>
        <v/>
      </c>
      <c r="S63" s="107" t="str">
        <f>_xlfn.IFNA(VLOOKUP(O63,'Advisor View'!$C$5:$AM$113,10,0), "")</f>
        <v/>
      </c>
    </row>
    <row r="64" spans="2:19" ht="14.65" thickBot="1" x14ac:dyDescent="0.5">
      <c r="B64" s="117" t="s">
        <v>62</v>
      </c>
      <c r="C64" s="118" t="s">
        <v>63</v>
      </c>
      <c r="D64" s="118" t="s">
        <v>64</v>
      </c>
      <c r="E64" s="118" t="s">
        <v>10</v>
      </c>
      <c r="F64" s="118" t="s">
        <v>62</v>
      </c>
      <c r="G64" s="118" t="s">
        <v>63</v>
      </c>
      <c r="H64" s="118" t="s">
        <v>64</v>
      </c>
      <c r="I64" s="118" t="s">
        <v>10</v>
      </c>
      <c r="J64" s="119" t="s">
        <v>62</v>
      </c>
      <c r="K64" s="118" t="s">
        <v>63</v>
      </c>
      <c r="L64" s="118" t="s">
        <v>64</v>
      </c>
      <c r="M64" s="121" t="s">
        <v>10</v>
      </c>
      <c r="O64" s="81"/>
      <c r="P64" s="168" t="str">
        <f>IFERROR(VLOOKUP(O64,'Advisor View'!$C$5:$G$113,2, FALSE),"")</f>
        <v/>
      </c>
      <c r="Q64" s="168" t="str">
        <f>IFERROR(VLOOKUP(P64,'Advisor View'!$C$5:$G$113,2, FALSE),"")</f>
        <v/>
      </c>
      <c r="R64" s="69" t="str">
        <f>IFERROR(VLOOKUP(O64,'Advisor View'!$C$5:$G$113,5, FALSE), "")</f>
        <v/>
      </c>
      <c r="S64" s="107" t="str">
        <f>_xlfn.IFNA(VLOOKUP(O64,'Advisor View'!$C$5:$AM$113,10,0), "")</f>
        <v/>
      </c>
    </row>
    <row r="65" spans="2:19" x14ac:dyDescent="0.45">
      <c r="B65" s="95" t="str" cm="1">
        <f t="array" ref="B65">IFERROR(_xlfn._xlws.FILTER('Advisor View'!$C$5:$C$113,'Advisor View'!$AN$5:$AN$113=14),"")</f>
        <v/>
      </c>
      <c r="C65" s="96" t="str">
        <f>IFERROR(VLOOKUP(B65,'Advisor View'!$C$5:$G$113,2, FALSE),"")</f>
        <v/>
      </c>
      <c r="D65" s="91" t="str">
        <f>IFERROR(VLOOKUP(B65,'Advisor View'!$C$5:$G$113,5, FALSE), "")</f>
        <v/>
      </c>
      <c r="E65" s="92" t="str">
        <f>_xlfn.IFNA(VLOOKUP(B65,'Advisor View'!$C$5:$AM$113,23,0), "")</f>
        <v/>
      </c>
      <c r="F65" s="97" t="str" cm="1">
        <f t="array" ref="F65">IFERROR(_xlfn._xlws.FILTER('Advisor View'!$C$5:$C$113,'Advisor View'!$AN$5:$AN$113=15),"")</f>
        <v/>
      </c>
      <c r="G65" s="96" t="str">
        <f>IFERROR(VLOOKUP(F65,'Advisor View'!$C$5:$G$113,2, FALSE),"")</f>
        <v/>
      </c>
      <c r="H65" s="91" t="str">
        <f>IFERROR(VLOOKUP(F65,'Advisor View'!$C$5:$G$113,5, FALSE), "")</f>
        <v/>
      </c>
      <c r="I65" s="92" t="str">
        <f>_xlfn.IFNA(VLOOKUP(F65,'Advisor View'!$C$5:$AM$113,24,0), "")</f>
        <v/>
      </c>
      <c r="J65" s="96" t="str" cm="1">
        <f t="array" ref="J65">IFERROR(_xlfn._xlws.FILTER('Advisor View'!$C$5:$C$113,'Advisor View'!$AN$5:$AN$113=16), "")</f>
        <v/>
      </c>
      <c r="K65" s="96" t="str">
        <f>IFERROR(VLOOKUP(J65,'Advisor View'!$C$5:$G$113,2, FALSE),"")</f>
        <v/>
      </c>
      <c r="L65" s="91" t="str">
        <f>IFERROR(VLOOKUP(J65,'Advisor View'!$C$5:$G$113,5, FALSE), "")</f>
        <v/>
      </c>
      <c r="M65" s="94" t="str">
        <f>_xlfn.IFNA(VLOOKUP(J65,'Advisor View'!$C$5:$AM$113,25,0), "")</f>
        <v/>
      </c>
      <c r="O65" s="81"/>
      <c r="P65" s="168" t="str">
        <f>IFERROR(VLOOKUP(O65,'Advisor View'!$C$5:$G$113,2, FALSE),"")</f>
        <v/>
      </c>
      <c r="Q65" s="168" t="str">
        <f>IFERROR(VLOOKUP(P65,'Advisor View'!$C$5:$G$113,2, FALSE),"")</f>
        <v/>
      </c>
      <c r="R65" s="69" t="str">
        <f>IFERROR(VLOOKUP(O65,'Advisor View'!$C$5:$G$113,5, FALSE), "")</f>
        <v/>
      </c>
      <c r="S65" s="107" t="str">
        <f>_xlfn.IFNA(VLOOKUP(O65,'Advisor View'!$C$5:$AM$113,10,0), "")</f>
        <v/>
      </c>
    </row>
    <row r="66" spans="2:19" x14ac:dyDescent="0.45">
      <c r="B66" s="84"/>
      <c r="C66" s="85" t="str">
        <f>IFERROR(VLOOKUP(B66,'Advisor View'!$C$5:$G$113,2, FALSE),"")</f>
        <v/>
      </c>
      <c r="D66" s="86" t="str">
        <f>IFERROR(VLOOKUP(B66,'Advisor View'!$C$5:$G$113,5, FALSE), "")</f>
        <v/>
      </c>
      <c r="E66" s="87" t="str">
        <f>_xlfn.IFNA(VLOOKUP(B66,'Advisor View'!$C$5:$AM$113,23,0), "")</f>
        <v/>
      </c>
      <c r="F66" s="83"/>
      <c r="G66" s="85" t="str">
        <f>IFERROR(VLOOKUP(F66,'Advisor View'!$C$5:$G$113,2, FALSE),"")</f>
        <v/>
      </c>
      <c r="H66" s="86" t="str">
        <f>IFERROR(VLOOKUP(F66,'Advisor View'!$C$5:$G$113,5, FALSE), "")</f>
        <v/>
      </c>
      <c r="I66" s="87" t="str">
        <f>_xlfn.IFNA(VLOOKUP(F66,'Advisor View'!$C$5:$AM$113,24,0), "")</f>
        <v/>
      </c>
      <c r="J66" s="85"/>
      <c r="K66" s="85" t="str">
        <f>IFERROR(VLOOKUP(J66,'Advisor View'!$C$5:$G$113,2, FALSE),"")</f>
        <v/>
      </c>
      <c r="L66" s="86" t="str">
        <f>IFERROR(VLOOKUP(J66,'Advisor View'!$C$5:$G$113,5, FALSE), "")</f>
        <v/>
      </c>
      <c r="M66" s="88" t="str">
        <f>_xlfn.IFNA(VLOOKUP(J66,'Advisor View'!$C$5:$AM$113,25,0), "")</f>
        <v/>
      </c>
      <c r="O66" s="81"/>
      <c r="P66" s="168" t="str">
        <f>IFERROR(VLOOKUP(O66,'Advisor View'!$C$5:$G$113,2, FALSE),"")</f>
        <v/>
      </c>
      <c r="Q66" s="168" t="str">
        <f>IFERROR(VLOOKUP(P66,'Advisor View'!$C$5:$G$113,2, FALSE),"")</f>
        <v/>
      </c>
      <c r="R66" s="69" t="str">
        <f>IFERROR(VLOOKUP(O66,'Advisor View'!$C$5:$G$113,5, FALSE), "")</f>
        <v/>
      </c>
      <c r="S66" s="107" t="str">
        <f>_xlfn.IFNA(VLOOKUP(O66,'Advisor View'!$C$5:$AM$113,10,0), "")</f>
        <v/>
      </c>
    </row>
    <row r="67" spans="2:19" x14ac:dyDescent="0.45">
      <c r="B67" s="84"/>
      <c r="C67" s="85" t="str">
        <f>IFERROR(VLOOKUP(B67,'Advisor View'!$C$5:$G$113,2, FALSE),"")</f>
        <v/>
      </c>
      <c r="D67" s="86" t="str">
        <f>IFERROR(VLOOKUP(B67,'Advisor View'!$C$5:$G$113,5, FALSE), "")</f>
        <v/>
      </c>
      <c r="E67" s="87" t="str">
        <f>_xlfn.IFNA(VLOOKUP(B67,'Advisor View'!$C$5:$AM$113,23,0), "")</f>
        <v/>
      </c>
      <c r="F67" s="83"/>
      <c r="G67" s="85" t="str">
        <f>IFERROR(VLOOKUP(F67,'Advisor View'!$C$5:$G$113,2, FALSE),"")</f>
        <v/>
      </c>
      <c r="H67" s="86" t="str">
        <f>IFERROR(VLOOKUP(F67,'Advisor View'!$C$5:$G$113,5, FALSE), "")</f>
        <v/>
      </c>
      <c r="I67" s="87" t="str">
        <f>_xlfn.IFNA(VLOOKUP(F67,'Advisor View'!$C$5:$AM$113,24,0), "")</f>
        <v/>
      </c>
      <c r="J67" s="85"/>
      <c r="K67" s="85" t="str">
        <f>IFERROR(VLOOKUP(J67,'Advisor View'!$C$5:$G$113,2, FALSE),"")</f>
        <v/>
      </c>
      <c r="L67" s="86" t="str">
        <f>IFERROR(VLOOKUP(J67,'Advisor View'!$C$5:$G$113,5, FALSE), "")</f>
        <v/>
      </c>
      <c r="M67" s="88" t="str">
        <f>_xlfn.IFNA(VLOOKUP(J67,'Advisor View'!$C$5:$AM$113,25,0), "")</f>
        <v/>
      </c>
      <c r="O67" s="81"/>
      <c r="P67" s="168" t="str">
        <f>IFERROR(VLOOKUP(O67,'Advisor View'!$C$5:$G$113,2, FALSE),"")</f>
        <v/>
      </c>
      <c r="Q67" s="168" t="str">
        <f>IFERROR(VLOOKUP(P67,'Advisor View'!$C$5:$G$113,2, FALSE),"")</f>
        <v/>
      </c>
      <c r="R67" s="69" t="str">
        <f>IFERROR(VLOOKUP(O67,'Advisor View'!$C$5:$G$113,5, FALSE), "")</f>
        <v/>
      </c>
      <c r="S67" s="107" t="str">
        <f>_xlfn.IFNA(VLOOKUP(O67,'Advisor View'!$C$5:$AM$113,10,0), "")</f>
        <v/>
      </c>
    </row>
    <row r="68" spans="2:19" x14ac:dyDescent="0.45">
      <c r="B68" s="84"/>
      <c r="C68" s="85" t="str">
        <f>IFERROR(VLOOKUP(B68,'Advisor View'!$C$5:$G$113,2, FALSE),"")</f>
        <v/>
      </c>
      <c r="D68" s="86" t="str">
        <f>IFERROR(VLOOKUP(B68,'Advisor View'!$C$5:$G$113,5, FALSE), "")</f>
        <v/>
      </c>
      <c r="E68" s="87" t="str">
        <f>_xlfn.IFNA(VLOOKUP(B68,'Advisor View'!$C$5:$AM$113,23,0), "")</f>
        <v/>
      </c>
      <c r="F68" s="83"/>
      <c r="G68" s="85" t="str">
        <f>IFERROR(VLOOKUP(F68,'Advisor View'!$C$5:$G$113,2, FALSE),"")</f>
        <v/>
      </c>
      <c r="H68" s="86" t="str">
        <f>IFERROR(VLOOKUP(F68,'Advisor View'!$C$5:$G$113,5, FALSE), "")</f>
        <v/>
      </c>
      <c r="I68" s="87" t="str">
        <f>_xlfn.IFNA(VLOOKUP(F68,'Advisor View'!$C$5:$AM$113,24,0), "")</f>
        <v/>
      </c>
      <c r="J68" s="85"/>
      <c r="K68" s="85" t="str">
        <f>IFERROR(VLOOKUP(J68,'Advisor View'!$C$5:$G$113,2, FALSE),"")</f>
        <v/>
      </c>
      <c r="L68" s="86" t="str">
        <f>IFERROR(VLOOKUP(J68,'Advisor View'!$C$5:$G$113,5, FALSE), "")</f>
        <v/>
      </c>
      <c r="M68" s="88" t="str">
        <f>_xlfn.IFNA(VLOOKUP(J68,'Advisor View'!$C$5:$AM$113,25,0), "")</f>
        <v/>
      </c>
      <c r="O68" s="81"/>
      <c r="P68" s="168" t="str">
        <f>IFERROR(VLOOKUP(O68,'Advisor View'!$C$5:$G$113,2, FALSE),"")</f>
        <v/>
      </c>
      <c r="Q68" s="168" t="str">
        <f>IFERROR(VLOOKUP(P68,'Advisor View'!$C$5:$G$113,2, FALSE),"")</f>
        <v/>
      </c>
      <c r="R68" s="69" t="str">
        <f>IFERROR(VLOOKUP(O68,'Advisor View'!$C$5:$G$113,5, FALSE), "")</f>
        <v/>
      </c>
      <c r="S68" s="107" t="str">
        <f>_xlfn.IFNA(VLOOKUP(O68,'Advisor View'!$C$5:$AM$113,10,0), "")</f>
        <v/>
      </c>
    </row>
    <row r="69" spans="2:19" x14ac:dyDescent="0.45">
      <c r="B69" s="84"/>
      <c r="C69" s="85" t="str">
        <f>IFERROR(VLOOKUP(B69,'Advisor View'!$C$5:$G$113,2, FALSE),"")</f>
        <v/>
      </c>
      <c r="D69" s="86" t="str">
        <f>IFERROR(VLOOKUP(B69,'Advisor View'!$C$5:$G$113,5, FALSE), "")</f>
        <v/>
      </c>
      <c r="E69" s="87" t="str">
        <f>_xlfn.IFNA(VLOOKUP(B69,'Advisor View'!$C$5:$AM$113,23,0), "")</f>
        <v/>
      </c>
      <c r="F69" s="83"/>
      <c r="G69" s="85" t="str">
        <f>IFERROR(VLOOKUP(F69,'Advisor View'!$C$5:$G$113,2, FALSE),"")</f>
        <v/>
      </c>
      <c r="H69" s="86" t="str">
        <f>IFERROR(VLOOKUP(F69,'Advisor View'!$C$5:$G$113,5, FALSE), "")</f>
        <v/>
      </c>
      <c r="I69" s="87" t="str">
        <f>_xlfn.IFNA(VLOOKUP(F69,'Advisor View'!$C$5:$AM$113,24,0), "")</f>
        <v/>
      </c>
      <c r="J69" s="85"/>
      <c r="K69" s="85" t="str">
        <f>IFERROR(VLOOKUP(J69,'Advisor View'!$C$5:$G$113,2, FALSE),"")</f>
        <v/>
      </c>
      <c r="L69" s="86" t="str">
        <f>IFERROR(VLOOKUP(J69,'Advisor View'!$C$5:$G$113,5, FALSE), "")</f>
        <v/>
      </c>
      <c r="M69" s="88" t="str">
        <f>_xlfn.IFNA(VLOOKUP(J69,'Advisor View'!$C$5:$AM$113,25,0), "")</f>
        <v/>
      </c>
      <c r="O69" s="81"/>
      <c r="P69" s="168" t="str">
        <f>IFERROR(VLOOKUP(O69,'Advisor View'!$C$5:$G$113,2, FALSE),"")</f>
        <v/>
      </c>
      <c r="Q69" s="168" t="str">
        <f>IFERROR(VLOOKUP(P69,'Advisor View'!$C$5:$G$113,2, FALSE),"")</f>
        <v/>
      </c>
      <c r="R69" s="69" t="str">
        <f>IFERROR(VLOOKUP(O69,'Advisor View'!$C$5:$G$113,5, FALSE), "")</f>
        <v/>
      </c>
      <c r="S69" s="107" t="str">
        <f>_xlfn.IFNA(VLOOKUP(O69,'Advisor View'!$C$5:$AM$113,10,0), "")</f>
        <v/>
      </c>
    </row>
    <row r="70" spans="2:19" x14ac:dyDescent="0.45">
      <c r="B70" s="84"/>
      <c r="C70" s="85" t="str">
        <f>IFERROR(VLOOKUP(B70,'Advisor View'!$C$5:$G$113,2, FALSE),"")</f>
        <v/>
      </c>
      <c r="D70" s="86" t="str">
        <f>IFERROR(VLOOKUP(B70,'Advisor View'!$C$5:$G$113,5, FALSE), "")</f>
        <v/>
      </c>
      <c r="E70" s="87" t="str">
        <f>_xlfn.IFNA(VLOOKUP(B70,'Advisor View'!$C$5:$AM$113,23,0), "")</f>
        <v/>
      </c>
      <c r="F70" s="83"/>
      <c r="G70" s="85" t="str">
        <f>IFERROR(VLOOKUP(F70,'Advisor View'!$C$5:$G$113,2, FALSE),"")</f>
        <v/>
      </c>
      <c r="H70" s="86" t="str">
        <f>IFERROR(VLOOKUP(F70,'Advisor View'!$C$5:$G$113,5, FALSE), "")</f>
        <v/>
      </c>
      <c r="I70" s="87" t="str">
        <f>_xlfn.IFNA(VLOOKUP(F70,'Advisor View'!$C$5:$AM$113,24,0), "")</f>
        <v/>
      </c>
      <c r="J70" s="85"/>
      <c r="K70" s="85" t="str">
        <f>IFERROR(VLOOKUP(J70,'Advisor View'!$C$5:$G$113,2, FALSE),"")</f>
        <v/>
      </c>
      <c r="L70" s="86" t="str">
        <f>IFERROR(VLOOKUP(J70,'Advisor View'!$C$5:$G$113,5, FALSE), "")</f>
        <v/>
      </c>
      <c r="M70" s="88" t="str">
        <f>_xlfn.IFNA(VLOOKUP(J70,'Advisor View'!$C$5:$AM$113,25,0), "")</f>
        <v/>
      </c>
      <c r="O70" s="81"/>
      <c r="P70" s="168" t="str">
        <f>IFERROR(VLOOKUP(O70,'Advisor View'!$C$5:$G$113,2, FALSE),"")</f>
        <v/>
      </c>
      <c r="Q70" s="168" t="str">
        <f>IFERROR(VLOOKUP(P70,'Advisor View'!$C$5:$G$113,2, FALSE),"")</f>
        <v/>
      </c>
      <c r="R70" s="69" t="str">
        <f>IFERROR(VLOOKUP(O70,'Advisor View'!$C$5:$G$113,5, FALSE), "")</f>
        <v/>
      </c>
      <c r="S70" s="107" t="str">
        <f>_xlfn.IFNA(VLOOKUP(O70,'Advisor View'!$C$5:$AM$113,10,0), "")</f>
        <v/>
      </c>
    </row>
    <row r="71" spans="2:19" x14ac:dyDescent="0.45">
      <c r="B71" s="84"/>
      <c r="C71" s="85" t="str">
        <f>IFERROR(VLOOKUP(B71,'Advisor View'!$C$5:$G$113,2, FALSE),"")</f>
        <v/>
      </c>
      <c r="D71" s="86" t="str">
        <f>IFERROR(VLOOKUP(B71,'Advisor View'!$C$5:$G$113,5, FALSE), "")</f>
        <v/>
      </c>
      <c r="E71" s="87" t="str">
        <f>_xlfn.IFNA(VLOOKUP(B71,'Advisor View'!$C$5:$AM$113,23,0), "")</f>
        <v/>
      </c>
      <c r="F71" s="83"/>
      <c r="G71" s="85" t="str">
        <f>IFERROR(VLOOKUP(F71,'Advisor View'!$C$5:$G$113,2, FALSE),"")</f>
        <v/>
      </c>
      <c r="H71" s="86" t="str">
        <f>IFERROR(VLOOKUP(F71,'Advisor View'!$C$5:$G$113,5, FALSE), "")</f>
        <v/>
      </c>
      <c r="I71" s="87" t="str">
        <f>_xlfn.IFNA(VLOOKUP(F71,'Advisor View'!$C$5:$AM$113,24,0), "")</f>
        <v/>
      </c>
      <c r="J71" s="85"/>
      <c r="K71" s="85" t="str">
        <f>IFERROR(VLOOKUP(J71,'Advisor View'!$C$5:$G$113,2, FALSE),"")</f>
        <v/>
      </c>
      <c r="L71" s="86" t="str">
        <f>IFERROR(VLOOKUP(J71,'Advisor View'!$C$5:$G$113,5, FALSE), "")</f>
        <v/>
      </c>
      <c r="M71" s="88" t="str">
        <f>_xlfn.IFNA(VLOOKUP(J71,'Advisor View'!$C$5:$AM$113,25,0), "")</f>
        <v/>
      </c>
      <c r="O71" s="81"/>
      <c r="P71" s="168" t="str">
        <f>IFERROR(VLOOKUP(O71,'Advisor View'!$C$5:$G$113,2, FALSE),"")</f>
        <v/>
      </c>
      <c r="Q71" s="168" t="str">
        <f>IFERROR(VLOOKUP(P71,'Advisor View'!$C$5:$G$113,2, FALSE),"")</f>
        <v/>
      </c>
      <c r="R71" s="69" t="str">
        <f>IFERROR(VLOOKUP(O71,'Advisor View'!$C$5:$G$113,5, FALSE), "")</f>
        <v/>
      </c>
      <c r="S71" s="107" t="str">
        <f>_xlfn.IFNA(VLOOKUP(O71,'Advisor View'!$C$5:$AM$113,10,0), "")</f>
        <v/>
      </c>
    </row>
    <row r="72" spans="2:19" x14ac:dyDescent="0.45">
      <c r="B72" s="84"/>
      <c r="C72" s="85" t="str">
        <f>IFERROR(VLOOKUP(B72,'Advisor View'!$C$5:$G$113,2, FALSE),"")</f>
        <v/>
      </c>
      <c r="D72" s="86" t="str">
        <f>IFERROR(VLOOKUP(B72,'Advisor View'!$C$5:$G$113,5, FALSE), "")</f>
        <v/>
      </c>
      <c r="E72" s="87" t="str">
        <f>_xlfn.IFNA(VLOOKUP(B72,'Advisor View'!$C$5:$AM$113,23,0), "")</f>
        <v/>
      </c>
      <c r="F72" s="83"/>
      <c r="G72" s="85" t="str">
        <f>IFERROR(VLOOKUP(F72,'Advisor View'!$C$5:$G$113,2, FALSE),"")</f>
        <v/>
      </c>
      <c r="H72" s="86" t="str">
        <f>IFERROR(VLOOKUP(F72,'Advisor View'!$C$5:$G$113,5, FALSE), "")</f>
        <v/>
      </c>
      <c r="I72" s="87" t="str">
        <f>_xlfn.IFNA(VLOOKUP(F72,'Advisor View'!$C$5:$AM$113,24,0), "")</f>
        <v/>
      </c>
      <c r="J72" s="85"/>
      <c r="K72" s="85" t="str">
        <f>IFERROR(VLOOKUP(J72,'Advisor View'!$C$5:$G$113,2, FALSE),"")</f>
        <v/>
      </c>
      <c r="L72" s="86" t="str">
        <f>IFERROR(VLOOKUP(J72,'Advisor View'!$C$5:$G$113,5, FALSE), "")</f>
        <v/>
      </c>
      <c r="M72" s="88" t="str">
        <f>_xlfn.IFNA(VLOOKUP(J72,'Advisor View'!$C$5:$AM$113,25,0), "")</f>
        <v/>
      </c>
      <c r="O72" s="81"/>
      <c r="P72" s="168" t="str">
        <f>IFERROR(VLOOKUP(O72,'Advisor View'!$C$5:$G$113,2, FALSE),"")</f>
        <v/>
      </c>
      <c r="Q72" s="168" t="str">
        <f>IFERROR(VLOOKUP(P72,'Advisor View'!$C$5:$G$113,2, FALSE),"")</f>
        <v/>
      </c>
      <c r="R72" s="69" t="str">
        <f>IFERROR(VLOOKUP(O72,'Advisor View'!$C$5:$G$113,5, FALSE), "")</f>
        <v/>
      </c>
      <c r="S72" s="107" t="str">
        <f>_xlfn.IFNA(VLOOKUP(O72,'Advisor View'!$C$5:$AM$113,10,0), "")</f>
        <v/>
      </c>
    </row>
    <row r="73" spans="2:19" ht="14.65" thickBot="1" x14ac:dyDescent="0.5">
      <c r="B73" s="84"/>
      <c r="C73" s="85" t="str">
        <f>IFERROR(VLOOKUP(B73,'Advisor View'!$C$5:$G$113,2, FALSE),"")</f>
        <v/>
      </c>
      <c r="D73" s="86" t="str">
        <f>IFERROR(VLOOKUP(B73,'Advisor View'!$C$5:$G$113,5, FALSE), "")</f>
        <v/>
      </c>
      <c r="E73" s="87" t="str">
        <f>_xlfn.IFNA(VLOOKUP(B73,'Advisor View'!$C$5:$AM$113,23,0), "")</f>
        <v/>
      </c>
      <c r="F73" s="83"/>
      <c r="G73" s="85" t="str">
        <f>IFERROR(VLOOKUP(F73,'Advisor View'!$C$5:$G$113,2, FALSE),"")</f>
        <v/>
      </c>
      <c r="H73" s="86" t="str">
        <f>IFERROR(VLOOKUP(F73,'Advisor View'!$C$5:$G$113,5, FALSE), "")</f>
        <v/>
      </c>
      <c r="I73" s="87" t="str">
        <f>_xlfn.IFNA(VLOOKUP(F73,'Advisor View'!$C$5:$AM$113,24,0), "")</f>
        <v/>
      </c>
      <c r="J73" s="85"/>
      <c r="K73" s="85" t="str">
        <f>IFERROR(VLOOKUP(J73,'Advisor View'!$C$5:$G$113,2, FALSE),"")</f>
        <v/>
      </c>
      <c r="L73" s="86" t="str">
        <f>IFERROR(VLOOKUP(J73,'Advisor View'!$C$5:$G$113,5, FALSE), "")</f>
        <v/>
      </c>
      <c r="M73" s="88" t="str">
        <f>_xlfn.IFNA(VLOOKUP(J73,'Advisor View'!$C$5:$AM$113,25,0), "")</f>
        <v/>
      </c>
      <c r="O73" s="103"/>
      <c r="P73" s="169" t="str">
        <f>IFERROR(VLOOKUP(O73,'Advisor View'!$C$5:$G$113,2, FALSE),"")</f>
        <v/>
      </c>
      <c r="Q73" s="169" t="str">
        <f>IFERROR(VLOOKUP(P73,'Advisor View'!$C$5:$G$113,2, FALSE),"")</f>
        <v/>
      </c>
      <c r="R73" s="105" t="str">
        <f>IFERROR(VLOOKUP(O73,'Advisor View'!$C$5:$G$113,5, FALSE), "")</f>
        <v/>
      </c>
      <c r="S73" s="108" t="str">
        <f>_xlfn.IFNA(VLOOKUP(O73,'Advisor View'!$C$5:$AM$113,10,0), "")</f>
        <v/>
      </c>
    </row>
    <row r="74" spans="2:19" ht="14.65" thickBot="1" x14ac:dyDescent="0.5">
      <c r="B74" s="182" t="str">
        <f>_xlfn.CONCAT(COUNTA(C65:C73)-COUNTBLANK(C65:C73), " Courses totaling ", SUM(D65:D73), " Units")</f>
        <v>0 Courses totaling 0 Units</v>
      </c>
      <c r="C74" s="183"/>
      <c r="D74" s="183"/>
      <c r="E74" s="183"/>
      <c r="F74" s="183" t="str">
        <f>_xlfn.CONCAT(COUNTA(G65:G73)-COUNTBLANK(G65:G73), " Courses totaling ", SUM(H65:H73), " Units")</f>
        <v>0 Courses totaling 0 Units</v>
      </c>
      <c r="G74" s="183"/>
      <c r="H74" s="183"/>
      <c r="I74" s="183"/>
      <c r="J74" s="184" t="str">
        <f>_xlfn.CONCAT(COUNTA(K65:K73)-COUNTBLANK(K65:K73), " Courses totaling ", SUM(L65:L73), " Units")</f>
        <v>0 Courses totaling 0 Units</v>
      </c>
      <c r="K74" s="183"/>
      <c r="L74" s="185"/>
      <c r="M74" s="186"/>
      <c r="O74" s="170" t="str">
        <f>_xlfn.CONCAT(COUNTA(Q37:Q73)-COUNTBLANK(Q37:Q73), " Courses totaling ", SUM(R37:R73), " Units")</f>
        <v>0 Courses totaling 0 Units</v>
      </c>
      <c r="P74" s="171"/>
      <c r="Q74" s="171"/>
      <c r="R74" s="171"/>
      <c r="S74" s="172"/>
    </row>
  </sheetData>
  <mergeCells count="80">
    <mergeCell ref="B2:S4"/>
    <mergeCell ref="B6:M6"/>
    <mergeCell ref="B20:M20"/>
    <mergeCell ref="B21:E21"/>
    <mergeCell ref="F21:I21"/>
    <mergeCell ref="J21:M21"/>
    <mergeCell ref="B18:E18"/>
    <mergeCell ref="F18:I18"/>
    <mergeCell ref="J18:M18"/>
    <mergeCell ref="B7:E7"/>
    <mergeCell ref="F7:I7"/>
    <mergeCell ref="J7:M7"/>
    <mergeCell ref="O18:S18"/>
    <mergeCell ref="O6:S7"/>
    <mergeCell ref="O20:S21"/>
    <mergeCell ref="B48:M48"/>
    <mergeCell ref="B49:E49"/>
    <mergeCell ref="F49:I49"/>
    <mergeCell ref="J49:M49"/>
    <mergeCell ref="B32:E32"/>
    <mergeCell ref="F32:I32"/>
    <mergeCell ref="J32:M32"/>
    <mergeCell ref="B34:M34"/>
    <mergeCell ref="B35:E35"/>
    <mergeCell ref="F35:I35"/>
    <mergeCell ref="J35:M35"/>
    <mergeCell ref="B46:E46"/>
    <mergeCell ref="F46:I46"/>
    <mergeCell ref="J46:M46"/>
    <mergeCell ref="B74:E74"/>
    <mergeCell ref="F74:I74"/>
    <mergeCell ref="J74:M74"/>
    <mergeCell ref="B60:E60"/>
    <mergeCell ref="F60:I60"/>
    <mergeCell ref="J60:M60"/>
    <mergeCell ref="B62:M62"/>
    <mergeCell ref="B63:E63"/>
    <mergeCell ref="F63:I63"/>
    <mergeCell ref="J63:M63"/>
    <mergeCell ref="O32:S32"/>
    <mergeCell ref="O34:S35"/>
    <mergeCell ref="O74:S74"/>
    <mergeCell ref="P36:Q36"/>
    <mergeCell ref="P37:Q37"/>
    <mergeCell ref="P38:Q38"/>
    <mergeCell ref="P39:Q39"/>
    <mergeCell ref="P40:Q40"/>
    <mergeCell ref="P41:Q41"/>
    <mergeCell ref="P42:Q42"/>
    <mergeCell ref="P43:Q43"/>
    <mergeCell ref="P44:Q44"/>
    <mergeCell ref="P45:Q45"/>
    <mergeCell ref="P46:Q46"/>
    <mergeCell ref="P47:Q47"/>
    <mergeCell ref="P48:Q48"/>
    <mergeCell ref="P49:Q49"/>
    <mergeCell ref="P50:Q50"/>
    <mergeCell ref="P51:Q51"/>
    <mergeCell ref="P52:Q52"/>
    <mergeCell ref="P53:Q53"/>
    <mergeCell ref="P54:Q54"/>
    <mergeCell ref="P55:Q55"/>
    <mergeCell ref="P56:Q56"/>
    <mergeCell ref="P57:Q57"/>
    <mergeCell ref="P58:Q58"/>
    <mergeCell ref="P59:Q59"/>
    <mergeCell ref="P60:Q60"/>
    <mergeCell ref="P61:Q61"/>
    <mergeCell ref="P62:Q62"/>
    <mergeCell ref="P63:Q63"/>
    <mergeCell ref="P64:Q64"/>
    <mergeCell ref="P65:Q65"/>
    <mergeCell ref="P66:Q66"/>
    <mergeCell ref="P72:Q72"/>
    <mergeCell ref="P73:Q73"/>
    <mergeCell ref="P67:Q67"/>
    <mergeCell ref="P68:Q68"/>
    <mergeCell ref="P69:Q69"/>
    <mergeCell ref="P70:Q70"/>
    <mergeCell ref="P71:Q71"/>
  </mergeCells>
  <conditionalFormatting sqref="B9:E17 B23:E31 B37:E45 B51:E59 B65:E73">
    <cfRule type="expression" dxfId="81" priority="47">
      <formula>$E9="IP"</formula>
    </cfRule>
    <cfRule type="expression" dxfId="80" priority="41">
      <formula>$E9="R"</formula>
    </cfRule>
    <cfRule type="expression" dxfId="79" priority="44">
      <formula>$E9="C"</formula>
    </cfRule>
  </conditionalFormatting>
  <conditionalFormatting sqref="F9:I17 F23:I31 F37:I45 F51:I59 F65:I73">
    <cfRule type="expression" dxfId="66" priority="40">
      <formula>$I9="R"</formula>
    </cfRule>
    <cfRule type="expression" dxfId="65" priority="43">
      <formula>$I9="C"</formula>
    </cfRule>
    <cfRule type="expression" dxfId="64" priority="46">
      <formula>$I9="IP"</formula>
    </cfRule>
  </conditionalFormatting>
  <conditionalFormatting sqref="J9:M17 J23:M31 J37:M45 J51:M59 J65:M73">
    <cfRule type="expression" dxfId="53" priority="39">
      <formula>$M9="R"</formula>
    </cfRule>
    <cfRule type="expression" dxfId="52" priority="42">
      <formula>$M9="C"</formula>
    </cfRule>
    <cfRule type="expression" dxfId="51" priority="45">
      <formula>$M9="IP"</formula>
    </cfRule>
  </conditionalFormatting>
  <conditionalFormatting sqref="O9:S17">
    <cfRule type="expression" dxfId="42" priority="38">
      <formula>$S9="W"</formula>
    </cfRule>
  </conditionalFormatting>
  <conditionalFormatting sqref="O23:S31">
    <cfRule type="expression" dxfId="41" priority="37">
      <formula>$S23="F"</formula>
    </cfRule>
  </conditionalFormatting>
  <conditionalFormatting sqref="O37:S73">
    <cfRule type="expression" dxfId="40" priority="34">
      <formula>$S37="R"</formula>
    </cfRule>
    <cfRule type="expression" dxfId="39" priority="35">
      <formula>$S37="C"</formula>
    </cfRule>
    <cfRule type="expression" dxfId="38" priority="36">
      <formula>$S37="IP"</formula>
    </cfRule>
  </conditionalFormatting>
  <pageMargins left="0.7" right="0.7" top="0.75" bottom="0.75" header="0.3" footer="0.3"/>
  <pageSetup scale="59" orientation="portrait" r:id="rId1"/>
  <colBreaks count="1" manualBreakCount="1">
    <brk id="14" min="5" max="60" man="1"/>
  </colBreak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6" id="{022F206D-0FAA-4F6A-BADF-A3292A8F1618}">
            <xm:f>AND(Legends!$L$10&gt;=VLOOKUP(LEFT($B$7,FIND(" ",$B$7)-1),Legends!$J$5:$N$7,4,FALSE),Legends!$L$10&lt;=VLOOKUP(LEFT($B$7,FIND(" ",$B$7)-1),Legends!$J$5:$N$7,5,FALSE),EXACT(Legends!$K$10,RIGHT($B$7,LEN($B$7)-FIND(" ",$B$7))))</xm:f>
            <x14:dxf>
              <font>
                <color auto="1"/>
              </font>
              <fill>
                <patternFill>
                  <bgColor rgb="FFFDEDB1"/>
                </patternFill>
              </fill>
              <border>
                <vertical/>
                <horizontal/>
              </border>
            </x14:dxf>
          </x14:cfRule>
          <x14:cfRule type="expression" priority="25" id="{1CEB5CC1-7F87-4388-A082-4778998AB1AD}">
            <xm:f>AND(Legends!$L$10&gt;=VLOOKUP(LEFT($B$7,FIND(" ",$B$7)-1),Legends!$J$5:$N$7,2,FALSE),Legends!$L$10&lt;=VLOOKUP(LEFT($B$7,FIND(" ",$B$7)-1),Legends!$J$5:$N$7,3,FALSE),EXACT(Legends!$K$10,RIGHT($B$7,LEN($B$7)-FIND(" ",$B$7))))</xm:f>
            <x14:dxf>
              <font>
                <color auto="1"/>
              </font>
              <fill>
                <patternFill>
                  <bgColor theme="4" tint="0.59996337778862885"/>
                </patternFill>
              </fill>
              <border>
                <vertical/>
                <horizontal/>
              </border>
            </x14:dxf>
          </x14:cfRule>
          <xm:sqref>B7:E8</xm:sqref>
        </x14:conditionalFormatting>
        <x14:conditionalFormatting xmlns:xm="http://schemas.microsoft.com/office/excel/2006/main">
          <x14:cfRule type="expression" priority="30" id="{0DA924AB-404F-453B-9C2D-B6704359E8C8}">
            <xm:f>AND(Legends!$L$10&gt;=VLOOKUP(LEFT($B$21,FIND(" ",$B$21)-1),Legends!$J$5:$N$7,2,FALSE),Legends!$L$10&lt;=VLOOKUP(LEFT($B$21,FIND(" ",$B$21)-1),Legends!$J$5:$N$7,3,FALSE),EXACT(Legends!$K$10,RIGHT($B$21,LEN($B$21)-FIND(" ",$B$21))))</xm:f>
            <x14:dxf>
              <font>
                <color auto="1"/>
              </font>
              <fill>
                <patternFill>
                  <bgColor theme="4" tint="0.79998168889431442"/>
                </patternFill>
              </fill>
              <border>
                <vertical/>
                <horizontal/>
              </border>
            </x14:dxf>
          </x14:cfRule>
          <x14:cfRule type="expression" priority="14" id="{92E27AEA-1826-45FA-921B-3F0D8C4B79C4}">
            <xm:f>AND(Legends!$L$10&gt;=VLOOKUP(LEFT($B$21,FIND(" ",$B$21)-1),Legends!$J$5:$N$7,4,FALSE),Legends!$L$10&lt;=VLOOKUP(LEFT($B$21,FIND(" ",$B$21)-1),Legends!$J$5:$N$7,5,FALSE),EXACT(Legends!$K$10,RIGHT($B$21,LEN($B$21)-FIND(" ",$B$21))))</xm:f>
            <x14:dxf>
              <font>
                <color auto="1"/>
              </font>
              <fill>
                <patternFill>
                  <bgColor rgb="FFFDEDB1"/>
                </patternFill>
              </fill>
              <border>
                <vertical/>
                <horizontal/>
              </border>
            </x14:dxf>
          </x14:cfRule>
          <xm:sqref>B21:E22</xm:sqref>
        </x14:conditionalFormatting>
        <x14:conditionalFormatting xmlns:xm="http://schemas.microsoft.com/office/excel/2006/main">
          <x14:cfRule type="expression" priority="13" id="{191948E4-8DA6-4772-9E88-7026599BFD55}">
            <xm:f>AND(Legends!$L$10&gt;=VLOOKUP(LEFT($B$35,FIND(" ",$B$35)-1),Legends!$J$5:$N$7,4,FALSE),Legends!$L$10&lt;=VLOOKUP(LEFT($B$35,FIND(" ",$B$35)-1),Legends!$J$5:$N$7,5,FALSE),EXACT(Legends!$K$10,RIGHT($B$35,LEN($B$35)-FIND(" ",$B$35))))</xm:f>
            <x14:dxf>
              <font>
                <color auto="1"/>
              </font>
              <fill>
                <patternFill>
                  <bgColor rgb="FFFDEDB1"/>
                </patternFill>
              </fill>
              <border>
                <vertical/>
                <horizontal/>
              </border>
            </x14:dxf>
          </x14:cfRule>
          <x14:cfRule type="expression" priority="28" id="{C4288556-9140-4B0C-84D7-46438BB7E8A0}">
            <xm:f>AND(Legends!$L$10&gt;=VLOOKUP(LEFT($B$35,FIND(" ",$B$35)-1),Legends!$J$5:$N$7,2,FALSE),Legends!$L$10&lt;=VLOOKUP(LEFT($B$35,FIND(" ",$B$35)-1),Legends!$J$5:$N$7,3,FALSE),EXACT(Legends!$K$10,RIGHT($B$35,LEN($B$35)-FIND(" ",$B$35))))</xm:f>
            <x14:dxf>
              <font>
                <color auto="1"/>
              </font>
              <fill>
                <patternFill>
                  <bgColor theme="4" tint="0.79998168889431442"/>
                </patternFill>
              </fill>
              <border>
                <vertical/>
                <horizontal/>
              </border>
            </x14:dxf>
          </x14:cfRule>
          <xm:sqref>B35:E36</xm:sqref>
        </x14:conditionalFormatting>
        <x14:conditionalFormatting xmlns:xm="http://schemas.microsoft.com/office/excel/2006/main">
          <x14:cfRule type="expression" priority="12" id="{A485E04A-3E82-43B1-AFBB-7E86EAE2F3B4}">
            <xm:f>AND(Legends!$L$10&gt;=VLOOKUP(LEFT($B$49,FIND(" ",$B$49)-1),Legends!$J$5:$N$7,4,FALSE),Legends!$L$10&lt;=VLOOKUP(LEFT($B$49,FIND(" ",$B$49)-1),Legends!$J$5:$N$7,5,FALSE),EXACT(Legends!$K$10,RIGHT($B$49,LEN($B$49)-FIND(" ",$B$49))))</xm:f>
            <x14:dxf>
              <font>
                <color auto="1"/>
              </font>
              <fill>
                <patternFill>
                  <bgColor rgb="FFFDEDB1"/>
                </patternFill>
              </fill>
              <border>
                <vertical/>
                <horizontal/>
              </border>
            </x14:dxf>
          </x14:cfRule>
          <x14:cfRule type="expression" priority="27" id="{178C52C6-82E5-4DA4-8977-7488E50E1E50}">
            <xm:f>AND(Legends!$L$10&gt;=VLOOKUP(LEFT($B$49,FIND(" ",$B$49)-1),Legends!$J$5:$N$7,2,FALSE),Legends!$L$10&lt;=VLOOKUP(LEFT($B$49,FIND(" ",$B$49)-1),Legends!$J$5:$N$7,3,FALSE),EXACT(Legends!$K$10,RIGHT($B$49,LEN($B$49)-FIND(" ",$B$49))))</xm:f>
            <x14:dxf>
              <font>
                <color auto="1"/>
              </font>
              <fill>
                <patternFill>
                  <bgColor theme="4" tint="0.79998168889431442"/>
                </patternFill>
              </fill>
              <border>
                <vertical/>
                <horizontal/>
              </border>
            </x14:dxf>
          </x14:cfRule>
          <xm:sqref>B49:E50</xm:sqref>
        </x14:conditionalFormatting>
        <x14:conditionalFormatting xmlns:xm="http://schemas.microsoft.com/office/excel/2006/main">
          <x14:cfRule type="expression" priority="11" id="{A3D15801-3C3E-497B-824D-A0BC6DE70E55}">
            <xm:f>AND(Legends!$L$10&gt;=VLOOKUP(LEFT($B$63,FIND(" ",$B$63)-1),Legends!$J$5:$N$7,4,FALSE),Legends!$L$10&lt;=VLOOKUP(LEFT($B$63,FIND(" ",$B$63)-1),Legends!$J$5:$N$7,5,FALSE),EXACT(Legends!$K$10,RIGHT($B$63,LEN($B$63)-FIND(" ",$B$63))))</xm:f>
            <x14:dxf>
              <font>
                <color auto="1"/>
              </font>
              <fill>
                <patternFill>
                  <bgColor rgb="FFFDEDB1"/>
                </patternFill>
              </fill>
              <border>
                <vertical/>
                <horizontal/>
              </border>
            </x14:dxf>
          </x14:cfRule>
          <x14:cfRule type="expression" priority="26" id="{82C7B58E-E9CA-4C74-8672-0A9DBB70ED0F}">
            <xm:f>AND(Legends!$L$10&gt;=VLOOKUP(LEFT($B$63,FIND(" ",$B$63)-1),Legends!$J$5:$N$7,2,FALSE),Legends!$L$10&lt;=VLOOKUP(LEFT($B$63,FIND(" ",$B$63)-1),Legends!$J$5:$N$7,3,FALSE),EXACT(Legends!$K$10,RIGHT($B$63,LEN($B$63)-FIND(" ",$B$63))))</xm:f>
            <x14:dxf>
              <font>
                <color auto="1"/>
              </font>
              <fill>
                <patternFill>
                  <bgColor theme="4" tint="0.79998168889431442"/>
                </patternFill>
              </fill>
              <border>
                <vertical/>
                <horizontal/>
              </border>
            </x14:dxf>
          </x14:cfRule>
          <xm:sqref>B63:E64</xm:sqref>
        </x14:conditionalFormatting>
        <x14:conditionalFormatting xmlns:xm="http://schemas.microsoft.com/office/excel/2006/main">
          <x14:cfRule type="expression" priority="33" id="{A57FE583-A1F9-4FF6-BAC5-C4EB4CA64FF0}">
            <xm:f>(SUM(B9:M74)+SUM(R37:R73))&gt;='Student Profile'!$C$7</xm:f>
            <x14:dxf>
              <fill>
                <patternFill>
                  <bgColor theme="6" tint="0.59996337778862885"/>
                </patternFill>
              </fill>
            </x14:dxf>
          </x14:cfRule>
          <x14:cfRule type="expression" priority="32" id="{BF061C33-BB65-43C2-8750-9261CA0F9F6B}">
            <xm:f>(SUM(B9:M74)+SUM(R37:R73))&lt;'Student Profile'!$C$7</xm:f>
            <x14:dxf>
              <fill>
                <patternFill>
                  <bgColor theme="5" tint="0.59996337778862885"/>
                </patternFill>
              </fill>
            </x14:dxf>
          </x14:cfRule>
          <xm:sqref>B2:S4</xm:sqref>
        </x14:conditionalFormatting>
        <x14:conditionalFormatting xmlns:xm="http://schemas.microsoft.com/office/excel/2006/main">
          <x14:cfRule type="expression" priority="15" id="{FE11B1B2-BDC5-46D6-BF5C-10F16C11799A}">
            <xm:f>AND(Legends!$L$10&gt;=VLOOKUP(LEFT($F$7,FIND(" ",$F$7)-1),Legends!$J$5:$N$7,4,FALSE),Legends!$L$10&lt;=VLOOKUP(LEFT($F$7,FIND(" ",$F$7)-1),Legends!$J$5:$N$7,5,FALSE),EXACT(Legends!$K$10,RIGHT($F$7,LEN($F$7)-FIND(" ",$F$7))))</xm:f>
            <x14:dxf>
              <font>
                <color auto="1"/>
              </font>
              <fill>
                <patternFill>
                  <bgColor rgb="FFFDEDB1"/>
                </patternFill>
              </fill>
              <border>
                <vertical/>
                <horizontal/>
              </border>
            </x14:dxf>
          </x14:cfRule>
          <x14:cfRule type="expression" priority="20" id="{1B30855B-C1E4-416F-9EC6-378200CE04DA}">
            <xm:f>AND(Legends!$L$10&gt;=VLOOKUP(LEFT($F$7,FIND(" ",$F$7)-1),Legends!$J$5:$N$7,2,FALSE),Legends!$L$10&lt;=VLOOKUP(LEFT($F$7,FIND(" ",$F$7)-1),Legends!$J$5:$N$7,3,FALSE),_xlfn.NUMBERVALUE(Legends!$K$10)+1=_xlfn.NUMBERVALUE(RIGHT($F$7,LEN($F$7)-FIND(" ",$F$7))))</xm:f>
            <x14:dxf>
              <font>
                <color auto="1"/>
              </font>
              <fill>
                <patternFill>
                  <bgColor theme="4" tint="0.79998168889431442"/>
                </patternFill>
              </fill>
              <border>
                <vertical/>
                <horizontal/>
              </border>
            </x14:dxf>
          </x14:cfRule>
          <xm:sqref>F7:I8</xm:sqref>
        </x14:conditionalFormatting>
        <x14:conditionalFormatting xmlns:xm="http://schemas.microsoft.com/office/excel/2006/main">
          <x14:cfRule type="expression" priority="5" id="{E1AEEC0A-D39D-4972-89AA-C2B899CFBB7B}">
            <xm:f>AND(Legends!$L$10&gt;=VLOOKUP(LEFT($F$21,FIND(" ",$F$21)-1),Legends!$J$5:$N$7,4,FALSE),Legends!$L$10&lt;=VLOOKUP(LEFT($F$21,FIND(" ",$F$21)-1),Legends!$J$5:$N$7,5,FALSE),EXACT(Legends!$K$10,RIGHT($F$21,LEN($F$21)-FIND(" ",$F$21))))</xm:f>
            <x14:dxf>
              <font>
                <color auto="1"/>
              </font>
              <fill>
                <patternFill>
                  <bgColor rgb="FFFDEDB1"/>
                </patternFill>
              </fill>
              <border>
                <vertical/>
                <horizontal/>
              </border>
            </x14:dxf>
          </x14:cfRule>
          <x14:cfRule type="expression" priority="29" id="{39C58A14-7ED0-406D-98CA-D04BC45C6435}">
            <xm:f>AND(Legends!$L$10&gt;=VLOOKUP(LEFT($F$21,FIND(" ",$F$21)-1),Legends!$J$5:$N$7,2,FALSE),Legends!$L$10&lt;=VLOOKUP(LEFT($F$21,FIND(" ",$F$21)-1),Legends!$J$5:$N$7,3,FALSE),_xlfn.NUMBERVALUE(Legends!$K$10)+1=_xlfn.NUMBERVALUE(RIGHT($F$21,LEN($F$21)-FIND(" ",$F$21))))</xm:f>
            <x14:dxf>
              <font>
                <color auto="1"/>
              </font>
              <fill>
                <patternFill>
                  <bgColor theme="4" tint="0.79998168889431442"/>
                </patternFill>
              </fill>
              <border>
                <vertical/>
                <horizontal/>
              </border>
            </x14:dxf>
          </x14:cfRule>
          <xm:sqref>F21:I22</xm:sqref>
        </x14:conditionalFormatting>
        <x14:conditionalFormatting xmlns:xm="http://schemas.microsoft.com/office/excel/2006/main">
          <x14:cfRule type="expression" priority="24" id="{6DC8BAFD-33C4-45C8-9F87-4F322282C591}">
            <xm:f>AND(Legends!$L$10&gt;=VLOOKUP(LEFT($F$35,FIND(" ",$F$35)-1),Legends!$J$5:$N$7,2,FALSE),Legends!$L$10&lt;=VLOOKUP(LEFT($F$35,FIND(" ",$F$35)-1),Legends!$J$5:$N$7,3,FALSE),_xlfn.NUMBERVALUE(Legends!$K$10)+1=_xlfn.NUMBERVALUE(RIGHT($F$35,LEN($F$35)-FIND(" ",$F$35))))</xm:f>
            <x14:dxf>
              <font>
                <color auto="1"/>
              </font>
              <fill>
                <patternFill>
                  <bgColor theme="4" tint="0.79998168889431442"/>
                </patternFill>
              </fill>
              <border>
                <vertical/>
                <horizontal/>
              </border>
            </x14:dxf>
          </x14:cfRule>
          <x14:cfRule type="expression" priority="4" id="{6B19F001-C17C-493B-8864-B5FD027525DA}">
            <xm:f>AND(Legends!$L$10&gt;=VLOOKUP(LEFT($F$35,FIND(" ",$F$35)-1),Legends!$J$5:$N$7,4,FALSE),Legends!$L$10&lt;=VLOOKUP(LEFT($F$35,FIND(" ",$F$35)-1),Legends!$J$5:$N$7,5,FALSE),EXACT(Legends!$K$10,RIGHT($F$35,LEN($F$35)-FIND(" ",$F$35))))</xm:f>
            <x14:dxf>
              <font>
                <color auto="1"/>
              </font>
              <fill>
                <patternFill>
                  <bgColor rgb="FFFDEDB1"/>
                </patternFill>
              </fill>
              <border>
                <vertical/>
                <horizontal/>
              </border>
            </x14:dxf>
          </x14:cfRule>
          <xm:sqref>F35:I36</xm:sqref>
        </x14:conditionalFormatting>
        <x14:conditionalFormatting xmlns:xm="http://schemas.microsoft.com/office/excel/2006/main">
          <x14:cfRule type="expression" priority="3" id="{1CF36835-4654-4DB5-AC70-FBEAED8C4E9C}">
            <xm:f>AND(Legends!$L$10&gt;=VLOOKUP(LEFT($F$49,FIND(" ",$F$49)-1),Legends!$J$5:$N$7,4,FALSE),Legends!$L$10&lt;=VLOOKUP(LEFT($F$49,FIND(" ",$F$49)-1),Legends!$J$5:$N$7,5,FALSE),EXACT(Legends!$K$10,RIGHT($F$49,LEN($F$49)-FIND(" ",$F$49))))</xm:f>
            <x14:dxf>
              <font>
                <color auto="1"/>
              </font>
              <fill>
                <patternFill>
                  <bgColor rgb="FFFDEDB1"/>
                </patternFill>
              </fill>
              <border>
                <vertical/>
                <horizontal/>
              </border>
            </x14:dxf>
          </x14:cfRule>
          <x14:cfRule type="expression" priority="23" id="{8D23B01D-B11D-4E3B-A112-2747B7E7C38D}">
            <xm:f>AND(Legends!$L$10&gt;=VLOOKUP(LEFT($F$49,FIND(" ",$F$49)-1),Legends!$J$5:$N$7,2,FALSE),Legends!$L$10&lt;=VLOOKUP(LEFT($F$49,FIND(" ",$F$49)-1),Legends!$J$5:$N$7,3,FALSE),_xlfn.NUMBERVALUE(Legends!$K$10)+1=_xlfn.NUMBERVALUE(RIGHT($F$49,LEN($F$49)-FIND(" ",$F$49))))</xm:f>
            <x14:dxf>
              <font>
                <color auto="1"/>
              </font>
              <fill>
                <patternFill>
                  <bgColor theme="4" tint="0.79998168889431442"/>
                </patternFill>
              </fill>
              <border>
                <vertical/>
                <horizontal/>
              </border>
            </x14:dxf>
          </x14:cfRule>
          <xm:sqref>F49:I50</xm:sqref>
        </x14:conditionalFormatting>
        <x14:conditionalFormatting xmlns:xm="http://schemas.microsoft.com/office/excel/2006/main">
          <x14:cfRule type="expression" priority="2" id="{13333604-FA75-4F33-BFFE-F3486E52C00F}">
            <xm:f>AND(Legends!$L$10&gt;=VLOOKUP(LEFT($F$63,FIND(" ",$F$63)-1),Legends!$J$5:$N$7,2,FALSE),Legends!$L$10&lt;=VLOOKUP(LEFT($F$63,FIND(" ",$F$63)-1),Legends!$J$5:$N$7,3,FALSE),_xlfn.NUMBERVALUE(Legends!$K$10)+1=_xlfn.NUMBERVALUE(RIGHT($F$63,LEN($F$63)-FIND(" ",$F$63))))</xm:f>
            <x14:dxf>
              <font>
                <color auto="1"/>
              </font>
              <fill>
                <patternFill>
                  <bgColor theme="4" tint="0.79998168889431442"/>
                </patternFill>
              </fill>
              <border>
                <vertical/>
                <horizontal/>
              </border>
            </x14:dxf>
          </x14:cfRule>
          <x14:cfRule type="expression" priority="1" id="{47FD88F0-9694-4663-ADC1-B02D9E5C4275}">
            <xm:f>AND(Legends!$L$10&gt;=VLOOKUP(LEFT($F$63,FIND(" ",$F$63)-1),Legends!$J$5:$N$7,4,FALSE),Legends!$L$10&lt;=VLOOKUP(LEFT($F$63,FIND(" ",$F$63)-1),Legends!$J$5:$N$7,5,FALSE),EXACT(Legends!$K$10,RIGHT($F$63,LEN($F$63)-FIND(" ",$F$63))))</xm:f>
            <x14:dxf>
              <font>
                <color auto="1"/>
              </font>
              <fill>
                <patternFill>
                  <bgColor rgb="FFFDEDB1"/>
                </patternFill>
              </fill>
              <border>
                <vertical/>
                <horizontal/>
              </border>
            </x14:dxf>
          </x14:cfRule>
          <xm:sqref>F63:I64</xm:sqref>
        </x14:conditionalFormatting>
        <x14:conditionalFormatting xmlns:xm="http://schemas.microsoft.com/office/excel/2006/main">
          <x14:cfRule type="expression" priority="10" id="{C9800B08-7FBE-4EEB-8110-3A5105DBEA87}">
            <xm:f>AND(Legends!$L$10&gt;=VLOOKUP(LEFT($J$7,FIND(" ",$J$7)-1),Legends!$J$5:$N$7,4,FALSE),Legends!$L$10&lt;=VLOOKUP(LEFT($J$7,FIND(" ",$J$7)-1),Legends!$J$5:$N$7,5,FALSE),EXACT(Legends!$K$10,RIGHT($J$7,LEN($J$7)-FIND(" ",$J$7))))</xm:f>
            <x14:dxf>
              <font>
                <color auto="1"/>
              </font>
              <fill>
                <patternFill>
                  <bgColor rgb="FFFDEDB1"/>
                </patternFill>
              </fill>
              <border>
                <vertical/>
                <horizontal/>
              </border>
            </x14:dxf>
          </x14:cfRule>
          <x14:cfRule type="expression" priority="17" id="{77858320-9815-4405-9C66-2B7F6FC50157}">
            <xm:f>AND(Legends!$L$10&gt;=VLOOKUP(LEFT($J$7,FIND(" ",$J$7)-1),Legends!$J$5:$N$7,2,FALSE),Legends!$L$10&lt;=VLOOKUP(LEFT($J$7,FIND(" ",$J$7)-1),Legends!$J$5:$N$7,3,FALSE),EXACT(Legends!$K$10,RIGHT($J$7,LEN($J$7)-FIND(" ",$J$7))))</xm:f>
            <x14:dxf>
              <font>
                <color auto="1"/>
              </font>
              <fill>
                <patternFill>
                  <bgColor theme="4" tint="0.79998168889431442"/>
                </patternFill>
              </fill>
              <border>
                <vertical/>
                <horizontal/>
              </border>
            </x14:dxf>
          </x14:cfRule>
          <xm:sqref>J7:M8</xm:sqref>
        </x14:conditionalFormatting>
        <x14:conditionalFormatting xmlns:xm="http://schemas.microsoft.com/office/excel/2006/main">
          <x14:cfRule type="expression" priority="31" id="{D65F6E14-23E8-47A3-B214-C019A04D280B}">
            <xm:f>AND(Legends!$L$10&gt;=VLOOKUP(LEFT($J$21,FIND(" ",$J$21)-1),Legends!$J$5:$N$7,2,FALSE),Legends!$L$10&lt;=VLOOKUP(LEFT($J$21,FIND(" ",$J$21)-1),Legends!$J$5:$N$7,3,FALSE),EXACT(Legends!$K$10,RIGHT($J$21,LEN($J$21)-FIND(" ",$J$21))))</xm:f>
            <x14:dxf>
              <font>
                <color auto="1"/>
              </font>
              <fill>
                <patternFill>
                  <bgColor theme="4" tint="0.79998168889431442"/>
                </patternFill>
              </fill>
              <border>
                <vertical/>
                <horizontal/>
              </border>
            </x14:dxf>
          </x14:cfRule>
          <x14:cfRule type="expression" priority="9" id="{015EF568-C38A-44B6-81DE-17ABA1642A59}">
            <xm:f>AND(Legends!$L$10&gt;=VLOOKUP(LEFT($J$21,FIND(" ",$J$21)-1),Legends!$J$5:$N$7,4,FALSE),Legends!$L$10&lt;=VLOOKUP(LEFT($J$21,FIND(" ",$J$21)-1),Legends!$J$5:$N$7,5,FALSE),EXACT(Legends!$K$10,RIGHT($J$21,LEN($J$21)-FIND(" ",$J$21))))</xm:f>
            <x14:dxf>
              <font>
                <color auto="1"/>
              </font>
              <fill>
                <patternFill>
                  <bgColor rgb="FFFDEDB1"/>
                </patternFill>
              </fill>
              <border>
                <vertical/>
                <horizontal/>
              </border>
            </x14:dxf>
          </x14:cfRule>
          <xm:sqref>J21:M22</xm:sqref>
        </x14:conditionalFormatting>
        <x14:conditionalFormatting xmlns:xm="http://schemas.microsoft.com/office/excel/2006/main">
          <x14:cfRule type="expression" priority="8" id="{EB23E6B1-35C0-4F4A-9038-CC282A2E4AAF}">
            <xm:f>AND(Legends!$L$10&gt;=VLOOKUP(LEFT($J$35,FIND(" ",$J$35)-1),Legends!$J$5:$N$7,4,FALSE),Legends!$L$10&lt;=VLOOKUP(LEFT($J$35,FIND(" ",$J$35)-1),Legends!$J$5:$N$7,5,FALSE),EXACT(Legends!$K$10,RIGHT($J$35,LEN($J$35)-FIND(" ",$J$35))))</xm:f>
            <x14:dxf>
              <font>
                <color auto="1"/>
              </font>
              <fill>
                <patternFill>
                  <bgColor rgb="FFFDEDB1"/>
                </patternFill>
              </fill>
              <border>
                <vertical/>
                <horizontal/>
              </border>
            </x14:dxf>
          </x14:cfRule>
          <x14:cfRule type="expression" priority="21" id="{5700C4BF-40DE-4928-9EDE-47219366FF3D}">
            <xm:f>AND(Legends!$L$10&gt;=VLOOKUP(LEFT($J$35,FIND(" ",$J$35)-1),Legends!$J$5:$N$7,2,FALSE),Legends!$L$10&lt;=VLOOKUP(LEFT($J$35,FIND(" ",$J$35)-1),Legends!$J$5:$N$7,3,FALSE),EXACT(Legends!$K$10,RIGHT($J$35,LEN($J$35)-FIND(" ",$J$35))))</xm:f>
            <x14:dxf>
              <font>
                <color auto="1"/>
              </font>
              <fill>
                <patternFill>
                  <bgColor theme="4" tint="0.79998168889431442"/>
                </patternFill>
              </fill>
              <border>
                <vertical/>
                <horizontal/>
              </border>
            </x14:dxf>
          </x14:cfRule>
          <xm:sqref>J35:M36</xm:sqref>
        </x14:conditionalFormatting>
        <x14:conditionalFormatting xmlns:xm="http://schemas.microsoft.com/office/excel/2006/main">
          <x14:cfRule type="expression" priority="19" id="{3CC3764F-CC12-4B51-9C20-F1270D01346D}">
            <xm:f>AND(Legends!$L$10&gt;=VLOOKUP(LEFT($J$49,FIND(" ",$J$49)-1),Legends!$J$5:$N$7,2,FALSE),Legends!$L$10&lt;=VLOOKUP(LEFT($J$49,FIND(" ",$J$49)-1),Legends!$J$5:$N$7,3,FALSE),EXACT(Legends!$K$10,RIGHT($J$49,LEN($J$49)-FIND(" ",$J$49))))</xm:f>
            <x14:dxf>
              <font>
                <color auto="1"/>
              </font>
              <fill>
                <patternFill>
                  <bgColor theme="4" tint="0.79998168889431442"/>
                </patternFill>
              </fill>
              <border>
                <vertical/>
                <horizontal/>
              </border>
            </x14:dxf>
          </x14:cfRule>
          <x14:cfRule type="expression" priority="7" id="{CCC403F4-8629-4024-B917-DCFBCD21940C}">
            <xm:f>AND(Legends!$L$10&gt;=VLOOKUP(LEFT($J$49,FIND(" ",$J$49)-1),Legends!$J$5:$N$7,4,FALSE),Legends!$L$10&lt;=VLOOKUP(LEFT($J$49,FIND(" ",$J$49)-1),Legends!$J$5:$N$7,5,FALSE),EXACT(Legends!$K$10,RIGHT($J$49,LEN($J$49)-FIND(" ",$J$49))))</xm:f>
            <x14:dxf>
              <font>
                <color auto="1"/>
              </font>
              <fill>
                <patternFill>
                  <bgColor rgb="FFFDEDB1"/>
                </patternFill>
              </fill>
              <border>
                <vertical/>
                <horizontal/>
              </border>
            </x14:dxf>
          </x14:cfRule>
          <xm:sqref>J49:M50</xm:sqref>
        </x14:conditionalFormatting>
        <x14:conditionalFormatting xmlns:xm="http://schemas.microsoft.com/office/excel/2006/main">
          <x14:cfRule type="expression" priority="18" id="{FFAF41A8-50F9-4D00-8D39-3CE43000A21A}">
            <xm:f>AND(Legends!$L$10&gt;=VLOOKUP(LEFT($J$63,FIND(" ",$J$63)-1),Legends!$J$5:$N$7,2,FALSE),Legends!$L$10&lt;=VLOOKUP(LEFT($J$63,FIND(" ",$J$63)-1),Legends!$J$5:$N$7,3,FALSE),EXACT(Legends!$K$10,RIGHT($J$63,LEN($J$63)-FIND(" ",$J$63))))</xm:f>
            <x14:dxf>
              <font>
                <color auto="1"/>
              </font>
              <fill>
                <patternFill>
                  <bgColor theme="4" tint="0.79998168889431442"/>
                </patternFill>
              </fill>
              <border>
                <vertical/>
                <horizontal/>
              </border>
            </x14:dxf>
          </x14:cfRule>
          <x14:cfRule type="expression" priority="6" id="{F26F70BF-0AAC-439D-A240-CA74597C6996}">
            <xm:f>AND(Legends!$L$10&gt;=VLOOKUP(LEFT($J$63,FIND(" ",$J$63)-1),Legends!$J$5:$N$7,4,FALSE),Legends!$L$10&lt;=VLOOKUP(LEFT($J$63,FIND(" ",$J$63)-1),Legends!$J$5:$N$7,5,FALSE),EXACT(Legends!$K$10,RIGHT($J$63,LEN($J$63)-FIND(" ",$J$63))))</xm:f>
            <x14:dxf>
              <font>
                <color auto="1"/>
              </font>
              <fill>
                <patternFill>
                  <bgColor rgb="FFFDEDB1"/>
                </patternFill>
              </fill>
              <border>
                <vertical/>
                <horizontal/>
              </border>
            </x14:dxf>
          </x14:cfRule>
          <xm:sqref>J63:M64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H10"/>
  <sheetViews>
    <sheetView workbookViewId="0">
      <selection activeCell="C13" sqref="C13"/>
    </sheetView>
  </sheetViews>
  <sheetFormatPr defaultRowHeight="14.25" x14ac:dyDescent="0.45"/>
  <cols>
    <col min="2" max="2" width="23" bestFit="1" customWidth="1"/>
    <col min="3" max="3" width="22.796875" bestFit="1" customWidth="1"/>
    <col min="5" max="5" width="24" bestFit="1" customWidth="1"/>
  </cols>
  <sheetData>
    <row r="2" spans="2:8" x14ac:dyDescent="0.45">
      <c r="B2" s="128" t="s">
        <v>66</v>
      </c>
      <c r="C2" s="127" t="s">
        <v>122</v>
      </c>
      <c r="E2" s="129" t="s">
        <v>87</v>
      </c>
      <c r="F2" s="129" t="s">
        <v>88</v>
      </c>
      <c r="G2" s="129" t="s">
        <v>89</v>
      </c>
      <c r="H2" s="129" t="s">
        <v>90</v>
      </c>
    </row>
    <row r="3" spans="2:8" x14ac:dyDescent="0.45">
      <c r="B3" s="128" t="s">
        <v>67</v>
      </c>
      <c r="C3" s="127" t="s">
        <v>123</v>
      </c>
      <c r="E3" s="130" t="s">
        <v>91</v>
      </c>
      <c r="F3" s="1"/>
      <c r="G3" s="131"/>
      <c r="H3" s="1"/>
    </row>
    <row r="4" spans="2:8" x14ac:dyDescent="0.45">
      <c r="B4" s="128" t="s">
        <v>65</v>
      </c>
      <c r="C4" s="127">
        <v>345678</v>
      </c>
      <c r="E4" s="130" t="s">
        <v>92</v>
      </c>
      <c r="F4" s="1"/>
      <c r="G4" s="131"/>
      <c r="H4" s="1"/>
    </row>
    <row r="5" spans="2:8" x14ac:dyDescent="0.45">
      <c r="B5" s="128" t="s">
        <v>18</v>
      </c>
      <c r="C5" s="127" t="s">
        <v>19</v>
      </c>
      <c r="E5" s="130" t="s">
        <v>93</v>
      </c>
      <c r="F5" s="1"/>
      <c r="G5" s="131"/>
      <c r="H5" s="1"/>
    </row>
    <row r="6" spans="2:8" x14ac:dyDescent="0.45">
      <c r="B6" s="128" t="s">
        <v>85</v>
      </c>
      <c r="C6" s="127" t="s">
        <v>99</v>
      </c>
      <c r="E6" s="130" t="s">
        <v>103</v>
      </c>
      <c r="F6" s="1"/>
      <c r="G6" s="131"/>
      <c r="H6" s="1"/>
    </row>
    <row r="7" spans="2:8" x14ac:dyDescent="0.45">
      <c r="B7" s="128" t="s">
        <v>72</v>
      </c>
      <c r="C7" s="2">
        <f>VLOOKUP(C6,Legends!G5:H14,2,FALSE)</f>
        <v>124</v>
      </c>
    </row>
    <row r="8" spans="2:8" x14ac:dyDescent="0.45">
      <c r="B8" s="128" t="s">
        <v>20</v>
      </c>
      <c r="C8" s="127">
        <v>2025</v>
      </c>
    </row>
    <row r="9" spans="2:8" x14ac:dyDescent="0.45">
      <c r="B9" s="128" t="s">
        <v>30</v>
      </c>
      <c r="C9" s="127">
        <v>2029</v>
      </c>
    </row>
    <row r="10" spans="2:8" x14ac:dyDescent="0.45">
      <c r="B10" s="128" t="s">
        <v>31</v>
      </c>
      <c r="C10" s="127" t="s">
        <v>32</v>
      </c>
    </row>
  </sheetData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0000000-0002-0000-0100-000000000000}">
          <x14:formula1>
            <xm:f>Legends!$E$5:$E$14</xm:f>
          </x14:formula1>
          <xm:sqref>C5</xm:sqref>
        </x14:dataValidation>
        <x14:dataValidation type="list" allowBlank="1" showInputMessage="1" showErrorMessage="1" xr:uid="{63C7A214-5F71-40B1-B7BC-06E34A3AE178}">
          <x14:formula1>
            <xm:f>Legends!$G$5:$G$14</xm:f>
          </x14:formula1>
          <xm:sqref>C6</xm:sqref>
        </x14:dataValidation>
        <x14:dataValidation type="list" allowBlank="1" showInputMessage="1" showErrorMessage="1" xr:uid="{D4DB1586-6573-462C-9A94-5F6C010FFEBD}">
          <x14:formula1>
            <xm:f>Legends!$C$5:$C$9</xm:f>
          </x14:formula1>
          <xm:sqref>F3:F6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V136"/>
  <sheetViews>
    <sheetView zoomScale="106" zoomScaleNormal="70" zoomScaleSheetLayoutView="40" zoomScalePageLayoutView="40" workbookViewId="0">
      <selection activeCell="D14" sqref="D14"/>
    </sheetView>
  </sheetViews>
  <sheetFormatPr defaultRowHeight="14.25" x14ac:dyDescent="0.45"/>
  <cols>
    <col min="2" max="2" width="3.796875" bestFit="1" customWidth="1"/>
    <col min="3" max="3" width="10.46484375" bestFit="1" customWidth="1"/>
    <col min="4" max="4" width="40.1328125" bestFit="1" customWidth="1"/>
    <col min="5" max="6" width="2" bestFit="1" customWidth="1"/>
    <col min="7" max="7" width="3.1328125" bestFit="1" customWidth="1"/>
    <col min="8" max="8" width="9.86328125" bestFit="1" customWidth="1"/>
    <col min="9" max="9" width="14" bestFit="1" customWidth="1"/>
    <col min="10" max="10" width="10.46484375" bestFit="1" customWidth="1"/>
    <col min="11" max="11" width="2.1328125" bestFit="1" customWidth="1"/>
    <col min="12" max="12" width="4.19921875" customWidth="1"/>
    <col min="13" max="27" width="3.796875" customWidth="1"/>
    <col min="28" max="28" width="6.46484375" bestFit="1" customWidth="1"/>
    <col min="30" max="30" width="12.19921875" bestFit="1" customWidth="1"/>
    <col min="35" max="35" width="6.19921875" bestFit="1" customWidth="1"/>
    <col min="36" max="36" width="6.1328125" bestFit="1" customWidth="1"/>
    <col min="37" max="37" width="5.53125" customWidth="1"/>
    <col min="38" max="38" width="6" bestFit="1" customWidth="1"/>
    <col min="39" max="39" width="5.53125" bestFit="1" customWidth="1"/>
    <col min="40" max="40" width="12.46484375" bestFit="1" customWidth="1"/>
  </cols>
  <sheetData>
    <row r="1" spans="1:48" ht="14.65" thickBot="1" x14ac:dyDescent="0.5"/>
    <row r="2" spans="1:48" ht="18.399999999999999" thickBot="1" x14ac:dyDescent="0.6">
      <c r="A2" s="3"/>
      <c r="B2" s="6"/>
      <c r="C2" s="246" t="str">
        <f>CONCATENATE("NAME: ", 'Student Profile'!$C$2, " ", 'Student Profile'!$C$3)</f>
        <v>NAME: CS Major w/ Cybersecurity Concentration</v>
      </c>
      <c r="D2" s="246"/>
      <c r="E2" s="246"/>
      <c r="F2" s="246"/>
      <c r="G2" s="246"/>
      <c r="H2" s="246" t="str">
        <f>CONCATENATE("Advisor: ",'Student Profile'!$C$5)</f>
        <v>Advisor: Dr. Grissom</v>
      </c>
      <c r="I2" s="246"/>
      <c r="J2" s="246"/>
      <c r="K2" s="246"/>
      <c r="L2" s="246" t="str">
        <f>CONCATENATE("Expected Graduation: ", 'Student Profile'!$C$10, " ", 'Student Profile'!$C$9)</f>
        <v>Expected Graduation: Spring 2029</v>
      </c>
      <c r="M2" s="246"/>
      <c r="N2" s="246"/>
      <c r="O2" s="246"/>
      <c r="P2" s="246"/>
      <c r="Q2" s="246"/>
      <c r="R2" s="246"/>
      <c r="S2" s="246"/>
      <c r="T2" s="246"/>
      <c r="U2" s="246"/>
      <c r="V2" s="246"/>
      <c r="W2" s="246"/>
      <c r="X2" s="246"/>
      <c r="Y2" s="246"/>
      <c r="Z2" s="246"/>
      <c r="AA2" s="246"/>
      <c r="AB2" s="246"/>
      <c r="AC2" s="247"/>
    </row>
    <row r="3" spans="1:48" ht="15" customHeight="1" x14ac:dyDescent="0.45">
      <c r="A3" s="206" t="s">
        <v>33</v>
      </c>
      <c r="B3" s="209"/>
      <c r="C3" s="218" t="s">
        <v>0</v>
      </c>
      <c r="D3" s="215" t="s">
        <v>148</v>
      </c>
      <c r="E3" s="216"/>
      <c r="F3" s="216"/>
      <c r="G3" s="217"/>
      <c r="H3" s="211" t="s">
        <v>7</v>
      </c>
      <c r="I3" s="211"/>
      <c r="J3" s="211" t="s">
        <v>8</v>
      </c>
      <c r="K3" s="211"/>
      <c r="L3" s="212" t="s">
        <v>22</v>
      </c>
      <c r="M3" s="211" t="str">
        <f>CONCATENATE(('Student Profile'!$C$8+0), " - ", ('Student Profile'!$C$8+1))</f>
        <v>2025 - 2026</v>
      </c>
      <c r="N3" s="211"/>
      <c r="O3" s="211"/>
      <c r="P3" s="211" t="str">
        <f>CONCATENATE(('Student Profile'!$C$8+1), " - ", ('Student Profile'!$C$8+2))</f>
        <v>2026 - 2027</v>
      </c>
      <c r="Q3" s="211"/>
      <c r="R3" s="211"/>
      <c r="S3" s="211" t="str">
        <f>CONCATENATE(('Student Profile'!$C$8+2), " - ", ('Student Profile'!$C$8+3))</f>
        <v>2027 - 2028</v>
      </c>
      <c r="T3" s="211"/>
      <c r="U3" s="211"/>
      <c r="V3" s="211" t="str">
        <f>CONCATENATE(('Student Profile'!$C$8+3), " - ", ('Student Profile'!$C$8+4))</f>
        <v>2028 - 2029</v>
      </c>
      <c r="W3" s="211"/>
      <c r="X3" s="211"/>
      <c r="Y3" s="211" t="str">
        <f>CONCATENATE(('Student Profile'!$C$8+4), " - ", ('Student Profile'!$C$8+5))</f>
        <v>2029 - 2030</v>
      </c>
      <c r="Z3" s="211"/>
      <c r="AA3" s="211"/>
      <c r="AB3" s="252" t="s">
        <v>21</v>
      </c>
      <c r="AC3" s="248" t="s">
        <v>28</v>
      </c>
      <c r="AE3" t="s">
        <v>104</v>
      </c>
      <c r="AI3" s="214" t="s">
        <v>37</v>
      </c>
      <c r="AJ3" s="214"/>
      <c r="AK3" s="214"/>
      <c r="AL3" s="214"/>
      <c r="AM3" s="214"/>
      <c r="AN3" s="214"/>
      <c r="AO3" s="214"/>
      <c r="AP3" s="214"/>
      <c r="AQ3" s="214"/>
      <c r="AR3" s="214"/>
      <c r="AS3" s="214"/>
      <c r="AT3" s="214"/>
      <c r="AU3" s="214"/>
      <c r="AV3" s="214"/>
    </row>
    <row r="4" spans="1:48" ht="14.65" thickBot="1" x14ac:dyDescent="0.5">
      <c r="A4" s="207"/>
      <c r="B4" s="210"/>
      <c r="C4" s="219"/>
      <c r="D4" s="132" t="s">
        <v>1</v>
      </c>
      <c r="E4" s="132" t="s">
        <v>9</v>
      </c>
      <c r="F4" s="132" t="s">
        <v>10</v>
      </c>
      <c r="G4" s="124" t="s">
        <v>2</v>
      </c>
      <c r="H4" s="124">
        <v>1</v>
      </c>
      <c r="I4" s="124">
        <v>2</v>
      </c>
      <c r="J4" s="124">
        <v>1</v>
      </c>
      <c r="K4" s="124">
        <v>2</v>
      </c>
      <c r="L4" s="213"/>
      <c r="M4" s="124" t="s">
        <v>9</v>
      </c>
      <c r="N4" s="124" t="s">
        <v>10</v>
      </c>
      <c r="O4" s="133" t="s">
        <v>11</v>
      </c>
      <c r="P4" s="124" t="s">
        <v>9</v>
      </c>
      <c r="Q4" s="124" t="s">
        <v>10</v>
      </c>
      <c r="R4" s="133" t="s">
        <v>11</v>
      </c>
      <c r="S4" s="124" t="s">
        <v>9</v>
      </c>
      <c r="T4" s="124" t="s">
        <v>10</v>
      </c>
      <c r="U4" s="133" t="s">
        <v>11</v>
      </c>
      <c r="V4" s="124" t="s">
        <v>9</v>
      </c>
      <c r="W4" s="124" t="s">
        <v>10</v>
      </c>
      <c r="X4" s="133" t="s">
        <v>11</v>
      </c>
      <c r="Y4" s="124" t="s">
        <v>9</v>
      </c>
      <c r="Z4" s="124" t="s">
        <v>10</v>
      </c>
      <c r="AA4" s="133" t="s">
        <v>11</v>
      </c>
      <c r="AB4" s="253"/>
      <c r="AC4" s="249"/>
      <c r="AI4" t="s">
        <v>23</v>
      </c>
      <c r="AJ4" t="s">
        <v>49</v>
      </c>
      <c r="AK4" t="s">
        <v>50</v>
      </c>
      <c r="AL4" t="s">
        <v>24</v>
      </c>
      <c r="AM4" t="s">
        <v>25</v>
      </c>
      <c r="AN4" t="s">
        <v>54</v>
      </c>
      <c r="AO4" t="s">
        <v>2</v>
      </c>
      <c r="AP4" t="s">
        <v>55</v>
      </c>
      <c r="AQ4" t="s">
        <v>58</v>
      </c>
      <c r="AR4" t="s">
        <v>59</v>
      </c>
      <c r="AS4" t="s">
        <v>56</v>
      </c>
      <c r="AT4" t="s">
        <v>57</v>
      </c>
      <c r="AU4" t="s">
        <v>60</v>
      </c>
      <c r="AV4" t="s">
        <v>61</v>
      </c>
    </row>
    <row r="5" spans="1:48" ht="15" customHeight="1" x14ac:dyDescent="0.45">
      <c r="A5" s="207"/>
      <c r="B5" s="254" t="s">
        <v>3</v>
      </c>
      <c r="C5" s="165" t="s">
        <v>149</v>
      </c>
      <c r="D5" s="166" t="s">
        <v>175</v>
      </c>
      <c r="E5" s="166" t="s">
        <v>9</v>
      </c>
      <c r="F5" s="166"/>
      <c r="G5" s="167">
        <v>3</v>
      </c>
      <c r="H5" s="12"/>
      <c r="I5" s="13"/>
      <c r="J5" s="14"/>
      <c r="K5" s="11" t="s">
        <v>4</v>
      </c>
      <c r="L5" s="12"/>
      <c r="M5" s="15"/>
      <c r="N5" s="16"/>
      <c r="O5" s="17"/>
      <c r="P5" s="15" t="s">
        <v>11</v>
      </c>
      <c r="Q5" s="16"/>
      <c r="R5" s="17"/>
      <c r="S5" s="15"/>
      <c r="T5" s="16"/>
      <c r="U5" s="17"/>
      <c r="V5" s="15"/>
      <c r="W5" s="16"/>
      <c r="X5" s="17"/>
      <c r="Y5" s="15"/>
      <c r="Z5" s="16"/>
      <c r="AA5" s="18"/>
      <c r="AB5" s="19"/>
      <c r="AC5" s="260">
        <f>SUM(AO5:AO17)</f>
        <v>18</v>
      </c>
      <c r="AE5" t="s">
        <v>105</v>
      </c>
      <c r="AI5">
        <f>_xlfn.IFNA(MATCH(Legends!$B$5, L5:AA5,0), 999)</f>
        <v>999</v>
      </c>
      <c r="AJ5">
        <f>_xlfn.IFNA(MATCH(Legends!$B$8, L5:AA5,0), 999)</f>
        <v>999</v>
      </c>
      <c r="AK5">
        <f>_xlfn.IFNA(MATCH(Legends!$B$9, L5:AA5,0), 999)</f>
        <v>999</v>
      </c>
      <c r="AL5">
        <f>_xlfn.IFNA(MATCH(Legends!$B$6, L5:AA5,0),999)</f>
        <v>999</v>
      </c>
      <c r="AM5">
        <f>_xlfn.IFNA(MATCH(Legends!$B$7, 'Advisor View'!L5:AA5, 0), 999)</f>
        <v>5</v>
      </c>
      <c r="AN5">
        <f>MIN(IF(ISERROR(AI5), 999, AI5), IF(ISERROR(AL5), 999, AL5), IF(ISERROR(AM5), 999, AM5))</f>
        <v>5</v>
      </c>
      <c r="AO5">
        <f t="shared" ref="AO5:AO17" si="0">IF(AN5&lt;999,G5,0)</f>
        <v>3</v>
      </c>
      <c r="AP5">
        <f>COUNTIF(L5:AA5,"C")</f>
        <v>0</v>
      </c>
      <c r="AQ5">
        <f>COUNTIF(L5:AA5,"IP")</f>
        <v>0</v>
      </c>
      <c r="AR5">
        <f>COUNTIF(L5:AA5,"R")</f>
        <v>1</v>
      </c>
      <c r="AS5">
        <f>COUNTIF(L5:AA5,"W")</f>
        <v>0</v>
      </c>
      <c r="AT5">
        <f>COUNTIF(L5:AA5,"F")</f>
        <v>0</v>
      </c>
      <c r="AU5">
        <f>SUM(AP5:AR5)</f>
        <v>1</v>
      </c>
      <c r="AV5">
        <f>SUM(AS5:AT5)</f>
        <v>0</v>
      </c>
    </row>
    <row r="6" spans="1:48" x14ac:dyDescent="0.45">
      <c r="A6" s="207"/>
      <c r="B6" s="254"/>
      <c r="C6" s="159" t="s">
        <v>150</v>
      </c>
      <c r="D6" s="160" t="s">
        <v>176</v>
      </c>
      <c r="E6" s="160" t="s">
        <v>9</v>
      </c>
      <c r="F6" s="160" t="s">
        <v>10</v>
      </c>
      <c r="G6" s="161">
        <v>3</v>
      </c>
      <c r="H6" s="23"/>
      <c r="I6" s="24"/>
      <c r="J6" s="25"/>
      <c r="K6" s="22" t="s">
        <v>4</v>
      </c>
      <c r="L6" s="26"/>
      <c r="M6" s="27"/>
      <c r="N6" s="28"/>
      <c r="O6" s="29"/>
      <c r="P6" s="27" t="s">
        <v>11</v>
      </c>
      <c r="Q6" s="28"/>
      <c r="R6" s="29"/>
      <c r="S6" s="27"/>
      <c r="T6" s="28"/>
      <c r="U6" s="29"/>
      <c r="V6" s="27"/>
      <c r="W6" s="28"/>
      <c r="X6" s="29"/>
      <c r="Y6" s="27"/>
      <c r="Z6" s="28"/>
      <c r="AA6" s="30"/>
      <c r="AB6" s="31"/>
      <c r="AC6" s="250"/>
      <c r="AI6">
        <f>_xlfn.IFNA(MATCH(Legends!$B$5, L6:AA6,0), 999)</f>
        <v>999</v>
      </c>
      <c r="AJ6">
        <f>_xlfn.IFNA(MATCH(Legends!$B$8, L6:AA6,0), 999)</f>
        <v>999</v>
      </c>
      <c r="AK6">
        <f>_xlfn.IFNA(MATCH(Legends!$B$9, L6:AA6,0), 999)</f>
        <v>999</v>
      </c>
      <c r="AL6">
        <f>_xlfn.IFNA(MATCH(Legends!$B$6, L6:AA6,0),999)</f>
        <v>999</v>
      </c>
      <c r="AM6">
        <f>_xlfn.IFNA(MATCH(Legends!$B$7, 'Advisor View'!L6:AA6, 0), 999)</f>
        <v>5</v>
      </c>
      <c r="AN6">
        <f t="shared" ref="AN6:AN79" si="1">MIN(IF(ISERROR(AI6), 999, AI6), IF(ISERROR(AL6), 999, AL6), IF(ISERROR(AM6), 999, AM6))</f>
        <v>5</v>
      </c>
      <c r="AO6">
        <f t="shared" si="0"/>
        <v>3</v>
      </c>
      <c r="AP6">
        <f t="shared" ref="AP6:AP69" si="2">COUNTIF(L6:AA6,"C")</f>
        <v>0</v>
      </c>
      <c r="AQ6">
        <f t="shared" ref="AQ6:AQ69" si="3">COUNTIF(L6:AA6,"IP")</f>
        <v>0</v>
      </c>
      <c r="AR6">
        <f t="shared" ref="AR6:AR69" si="4">COUNTIF(L6:AA6,"R")</f>
        <v>1</v>
      </c>
      <c r="AS6">
        <f t="shared" ref="AS6:AS69" si="5">COUNTIF(L6:AA6,"W")</f>
        <v>0</v>
      </c>
      <c r="AT6">
        <f t="shared" ref="AT6:AT69" si="6">COUNTIF(L6:AA6,"F")</f>
        <v>0</v>
      </c>
      <c r="AU6">
        <f t="shared" ref="AU6:AU69" si="7">SUM(AP6:AR6)</f>
        <v>1</v>
      </c>
      <c r="AV6">
        <f t="shared" ref="AV6:AV69" si="8">SUM(AS6:AT6)</f>
        <v>0</v>
      </c>
    </row>
    <row r="7" spans="1:48" x14ac:dyDescent="0.45">
      <c r="A7" s="207"/>
      <c r="B7" s="254"/>
      <c r="C7" s="165" t="s">
        <v>151</v>
      </c>
      <c r="D7" s="166" t="s">
        <v>177</v>
      </c>
      <c r="E7" s="166"/>
      <c r="F7" s="166" t="s">
        <v>10</v>
      </c>
      <c r="G7" s="167">
        <v>3</v>
      </c>
      <c r="H7" s="12"/>
      <c r="I7" s="13"/>
      <c r="J7" s="14"/>
      <c r="K7" s="11" t="s">
        <v>4</v>
      </c>
      <c r="L7" s="12"/>
      <c r="M7" s="15"/>
      <c r="N7" s="16"/>
      <c r="O7" s="17"/>
      <c r="P7" s="15"/>
      <c r="Q7" s="16" t="s">
        <v>11</v>
      </c>
      <c r="R7" s="17"/>
      <c r="S7" s="15"/>
      <c r="T7" s="16"/>
      <c r="U7" s="17"/>
      <c r="V7" s="15"/>
      <c r="W7" s="16"/>
      <c r="X7" s="17"/>
      <c r="Y7" s="15"/>
      <c r="Z7" s="16"/>
      <c r="AA7" s="18"/>
      <c r="AB7" s="19"/>
      <c r="AC7" s="250"/>
      <c r="AE7" t="s">
        <v>106</v>
      </c>
      <c r="AI7">
        <f>_xlfn.IFNA(MATCH(Legends!$B$5, L7:AA7,0), 999)</f>
        <v>999</v>
      </c>
      <c r="AJ7">
        <f>_xlfn.IFNA(MATCH(Legends!$B$8, L7:AA7,0), 999)</f>
        <v>999</v>
      </c>
      <c r="AK7">
        <f>_xlfn.IFNA(MATCH(Legends!$B$9, L7:AA7,0), 999)</f>
        <v>999</v>
      </c>
      <c r="AL7">
        <f>_xlfn.IFNA(MATCH(Legends!$B$6, L7:AA7,0),999)</f>
        <v>999</v>
      </c>
      <c r="AM7">
        <f>_xlfn.IFNA(MATCH(Legends!$B$7, 'Advisor View'!L7:AA7, 0), 999)</f>
        <v>6</v>
      </c>
      <c r="AN7">
        <f t="shared" si="1"/>
        <v>6</v>
      </c>
      <c r="AO7">
        <f t="shared" si="0"/>
        <v>3</v>
      </c>
      <c r="AP7">
        <f t="shared" si="2"/>
        <v>0</v>
      </c>
      <c r="AQ7">
        <f t="shared" si="3"/>
        <v>0</v>
      </c>
      <c r="AR7">
        <f t="shared" si="4"/>
        <v>1</v>
      </c>
      <c r="AS7">
        <f t="shared" si="5"/>
        <v>0</v>
      </c>
      <c r="AT7">
        <f t="shared" si="6"/>
        <v>0</v>
      </c>
      <c r="AU7">
        <f t="shared" si="7"/>
        <v>1</v>
      </c>
      <c r="AV7">
        <f t="shared" si="8"/>
        <v>0</v>
      </c>
    </row>
    <row r="8" spans="1:48" x14ac:dyDescent="0.45">
      <c r="A8" s="207"/>
      <c r="B8" s="254"/>
      <c r="C8" s="159" t="s">
        <v>152</v>
      </c>
      <c r="D8" s="160" t="s">
        <v>178</v>
      </c>
      <c r="E8" s="160" t="s">
        <v>9</v>
      </c>
      <c r="F8" s="160" t="s">
        <v>10</v>
      </c>
      <c r="G8" s="161">
        <v>3</v>
      </c>
      <c r="H8" s="23"/>
      <c r="I8" s="24"/>
      <c r="J8" s="25"/>
      <c r="K8" s="22" t="s">
        <v>4</v>
      </c>
      <c r="L8" s="26"/>
      <c r="M8" s="27"/>
      <c r="N8" s="28"/>
      <c r="O8" s="29"/>
      <c r="P8" s="27"/>
      <c r="Q8" s="28" t="s">
        <v>11</v>
      </c>
      <c r="R8" s="29"/>
      <c r="S8" s="27"/>
      <c r="T8" s="28"/>
      <c r="U8" s="29"/>
      <c r="V8" s="27"/>
      <c r="W8" s="28"/>
      <c r="X8" s="29"/>
      <c r="Y8" s="27"/>
      <c r="Z8" s="28"/>
      <c r="AA8" s="30"/>
      <c r="AB8" s="31"/>
      <c r="AC8" s="250"/>
      <c r="AE8" t="s">
        <v>107</v>
      </c>
      <c r="AI8">
        <f>_xlfn.IFNA(MATCH(Legends!$B$5, L8:AA8,0), 999)</f>
        <v>999</v>
      </c>
      <c r="AJ8">
        <f>_xlfn.IFNA(MATCH(Legends!$B$8, L8:AA8,0), 999)</f>
        <v>999</v>
      </c>
      <c r="AK8">
        <f>_xlfn.IFNA(MATCH(Legends!$B$9, L8:AA8,0), 999)</f>
        <v>999</v>
      </c>
      <c r="AL8">
        <f>_xlfn.IFNA(MATCH(Legends!$B$6, L8:AA8,0),999)</f>
        <v>999</v>
      </c>
      <c r="AM8">
        <f>_xlfn.IFNA(MATCH(Legends!$B$7, 'Advisor View'!L8:AA8, 0), 999)</f>
        <v>6</v>
      </c>
      <c r="AN8">
        <f t="shared" si="1"/>
        <v>6</v>
      </c>
      <c r="AO8">
        <f t="shared" si="0"/>
        <v>3</v>
      </c>
      <c r="AP8">
        <f t="shared" si="2"/>
        <v>0</v>
      </c>
      <c r="AQ8">
        <f t="shared" si="3"/>
        <v>0</v>
      </c>
      <c r="AR8">
        <f t="shared" si="4"/>
        <v>1</v>
      </c>
      <c r="AS8">
        <f t="shared" si="5"/>
        <v>0</v>
      </c>
      <c r="AT8">
        <f t="shared" si="6"/>
        <v>0</v>
      </c>
      <c r="AU8">
        <f t="shared" si="7"/>
        <v>1</v>
      </c>
      <c r="AV8">
        <f t="shared" si="8"/>
        <v>0</v>
      </c>
    </row>
    <row r="9" spans="1:48" x14ac:dyDescent="0.45">
      <c r="A9" s="207"/>
      <c r="B9" s="254"/>
      <c r="C9" s="165" t="s">
        <v>153</v>
      </c>
      <c r="D9" s="166" t="s">
        <v>179</v>
      </c>
      <c r="E9" s="166" t="s">
        <v>9</v>
      </c>
      <c r="F9" s="166" t="s">
        <v>10</v>
      </c>
      <c r="G9" s="167">
        <v>3</v>
      </c>
      <c r="H9" s="12"/>
      <c r="I9" s="13"/>
      <c r="J9" s="14"/>
      <c r="K9" s="11" t="s">
        <v>4</v>
      </c>
      <c r="L9" s="12"/>
      <c r="M9" s="15"/>
      <c r="N9" s="16"/>
      <c r="O9" s="17"/>
      <c r="P9" s="15" t="s">
        <v>11</v>
      </c>
      <c r="Q9" s="16"/>
      <c r="R9" s="17"/>
      <c r="S9" s="15"/>
      <c r="T9" s="16"/>
      <c r="U9" s="17"/>
      <c r="V9" s="15"/>
      <c r="W9" s="16"/>
      <c r="X9" s="17"/>
      <c r="Y9" s="15"/>
      <c r="Z9" s="16"/>
      <c r="AA9" s="18"/>
      <c r="AB9" s="19"/>
      <c r="AC9" s="250"/>
      <c r="AE9" t="s">
        <v>108</v>
      </c>
      <c r="AI9">
        <f>_xlfn.IFNA(MATCH(Legends!$B$5, L9:AA9,0), 999)</f>
        <v>999</v>
      </c>
      <c r="AJ9">
        <f>_xlfn.IFNA(MATCH(Legends!$B$8, L9:AA9,0), 999)</f>
        <v>999</v>
      </c>
      <c r="AK9">
        <f>_xlfn.IFNA(MATCH(Legends!$B$9, L9:AA9,0), 999)</f>
        <v>999</v>
      </c>
      <c r="AL9">
        <f>_xlfn.IFNA(MATCH(Legends!$B$6, L9:AA9,0),999)</f>
        <v>999</v>
      </c>
      <c r="AM9">
        <f>_xlfn.IFNA(MATCH(Legends!$B$7, 'Advisor View'!L9:AA9, 0), 999)</f>
        <v>5</v>
      </c>
      <c r="AN9">
        <f t="shared" si="1"/>
        <v>5</v>
      </c>
      <c r="AO9">
        <f t="shared" si="0"/>
        <v>3</v>
      </c>
      <c r="AP9">
        <f t="shared" si="2"/>
        <v>0</v>
      </c>
      <c r="AQ9">
        <f t="shared" si="3"/>
        <v>0</v>
      </c>
      <c r="AR9">
        <f t="shared" si="4"/>
        <v>1</v>
      </c>
      <c r="AS9">
        <f t="shared" si="5"/>
        <v>0</v>
      </c>
      <c r="AT9">
        <f t="shared" si="6"/>
        <v>0</v>
      </c>
      <c r="AU9">
        <f t="shared" si="7"/>
        <v>1</v>
      </c>
      <c r="AV9">
        <f t="shared" si="8"/>
        <v>0</v>
      </c>
    </row>
    <row r="10" spans="1:48" x14ac:dyDescent="0.45">
      <c r="A10" s="207"/>
      <c r="B10" s="254"/>
      <c r="C10" s="159" t="s">
        <v>154</v>
      </c>
      <c r="D10" s="160" t="s">
        <v>180</v>
      </c>
      <c r="E10" s="160" t="s">
        <v>9</v>
      </c>
      <c r="F10" s="160" t="s">
        <v>10</v>
      </c>
      <c r="G10" s="161">
        <v>3</v>
      </c>
      <c r="H10" s="23" t="s">
        <v>154</v>
      </c>
      <c r="I10" s="24"/>
      <c r="J10" s="25"/>
      <c r="K10" s="22" t="s">
        <v>4</v>
      </c>
      <c r="L10" s="26"/>
      <c r="M10" s="27"/>
      <c r="N10" s="28"/>
      <c r="O10" s="29"/>
      <c r="P10" s="27"/>
      <c r="Q10" s="28" t="s">
        <v>11</v>
      </c>
      <c r="R10" s="29"/>
      <c r="S10" s="27"/>
      <c r="T10" s="28"/>
      <c r="U10" s="29"/>
      <c r="V10" s="27"/>
      <c r="W10" s="28"/>
      <c r="X10" s="29"/>
      <c r="Y10" s="27"/>
      <c r="Z10" s="28"/>
      <c r="AA10" s="30"/>
      <c r="AB10" s="31"/>
      <c r="AC10" s="250"/>
      <c r="AE10" t="s">
        <v>108</v>
      </c>
      <c r="AI10">
        <f>_xlfn.IFNA(MATCH(Legends!$B$5, L10:AA10,0), 999)</f>
        <v>999</v>
      </c>
      <c r="AJ10">
        <f>_xlfn.IFNA(MATCH(Legends!$B$8, L10:AA10,0), 999)</f>
        <v>999</v>
      </c>
      <c r="AK10">
        <f>_xlfn.IFNA(MATCH(Legends!$B$9, L10:AA10,0), 999)</f>
        <v>999</v>
      </c>
      <c r="AL10">
        <f>_xlfn.IFNA(MATCH(Legends!$B$6, L10:AA10,0),999)</f>
        <v>999</v>
      </c>
      <c r="AM10">
        <f>_xlfn.IFNA(MATCH(Legends!$B$7, 'Advisor View'!L10:AA10, 0), 999)</f>
        <v>6</v>
      </c>
      <c r="AN10">
        <f t="shared" si="1"/>
        <v>6</v>
      </c>
      <c r="AO10">
        <f t="shared" si="0"/>
        <v>3</v>
      </c>
      <c r="AP10">
        <f t="shared" si="2"/>
        <v>0</v>
      </c>
      <c r="AQ10">
        <f t="shared" si="3"/>
        <v>0</v>
      </c>
      <c r="AR10">
        <f t="shared" si="4"/>
        <v>1</v>
      </c>
      <c r="AS10">
        <f t="shared" si="5"/>
        <v>0</v>
      </c>
      <c r="AT10">
        <f t="shared" si="6"/>
        <v>0</v>
      </c>
      <c r="AU10">
        <f t="shared" si="7"/>
        <v>1</v>
      </c>
      <c r="AV10">
        <f t="shared" si="8"/>
        <v>0</v>
      </c>
    </row>
    <row r="11" spans="1:48" x14ac:dyDescent="0.45">
      <c r="A11" s="207"/>
      <c r="B11" s="254"/>
      <c r="C11" s="138"/>
      <c r="D11" s="139"/>
      <c r="E11" s="10"/>
      <c r="F11" s="10"/>
      <c r="G11" s="11"/>
      <c r="H11" s="12"/>
      <c r="I11" s="13"/>
      <c r="J11" s="14"/>
      <c r="K11" s="11" t="s">
        <v>4</v>
      </c>
      <c r="L11" s="12"/>
      <c r="M11" s="15"/>
      <c r="N11" s="16"/>
      <c r="O11" s="17"/>
      <c r="P11" s="15"/>
      <c r="Q11" s="16"/>
      <c r="R11" s="17"/>
      <c r="S11" s="15"/>
      <c r="T11" s="16"/>
      <c r="U11" s="17"/>
      <c r="V11" s="15"/>
      <c r="W11" s="16"/>
      <c r="X11" s="17"/>
      <c r="Y11" s="15"/>
      <c r="Z11" s="16"/>
      <c r="AA11" s="18"/>
      <c r="AB11" s="19"/>
      <c r="AC11" s="250"/>
      <c r="AE11" t="s">
        <v>108</v>
      </c>
      <c r="AI11">
        <f>_xlfn.IFNA(MATCH(Legends!$B$5, L11:AA11,0), 999)</f>
        <v>999</v>
      </c>
      <c r="AJ11">
        <f>_xlfn.IFNA(MATCH(Legends!$B$8, L11:AA11,0), 999)</f>
        <v>999</v>
      </c>
      <c r="AK11">
        <f>_xlfn.IFNA(MATCH(Legends!$B$9, L11:AA11,0), 999)</f>
        <v>999</v>
      </c>
      <c r="AL11">
        <f>_xlfn.IFNA(MATCH(Legends!$B$6, L11:AA11,0),999)</f>
        <v>999</v>
      </c>
      <c r="AM11">
        <f>_xlfn.IFNA(MATCH(Legends!$B$7, 'Advisor View'!L11:AA11, 0), 999)</f>
        <v>999</v>
      </c>
      <c r="AN11">
        <f t="shared" si="1"/>
        <v>999</v>
      </c>
      <c r="AO11">
        <f t="shared" si="0"/>
        <v>0</v>
      </c>
      <c r="AP11">
        <f t="shared" si="2"/>
        <v>0</v>
      </c>
      <c r="AQ11">
        <f t="shared" si="3"/>
        <v>0</v>
      </c>
      <c r="AR11">
        <f t="shared" si="4"/>
        <v>0</v>
      </c>
      <c r="AS11">
        <f t="shared" si="5"/>
        <v>0</v>
      </c>
      <c r="AT11">
        <f t="shared" si="6"/>
        <v>0</v>
      </c>
      <c r="AU11">
        <f t="shared" si="7"/>
        <v>0</v>
      </c>
      <c r="AV11">
        <f t="shared" si="8"/>
        <v>0</v>
      </c>
    </row>
    <row r="12" spans="1:48" x14ac:dyDescent="0.45">
      <c r="A12" s="207"/>
      <c r="B12" s="254"/>
      <c r="C12" s="140"/>
      <c r="D12" s="141"/>
      <c r="E12" s="141"/>
      <c r="F12" s="141"/>
      <c r="G12" s="142"/>
      <c r="H12" s="143"/>
      <c r="I12" s="144"/>
      <c r="J12" s="145"/>
      <c r="K12" s="142"/>
      <c r="L12" s="146"/>
      <c r="M12" s="147"/>
      <c r="N12" s="148"/>
      <c r="O12" s="149"/>
      <c r="P12" s="147"/>
      <c r="Q12" s="148"/>
      <c r="R12" s="149"/>
      <c r="S12" s="147"/>
      <c r="T12" s="148"/>
      <c r="U12" s="149"/>
      <c r="V12" s="147"/>
      <c r="W12" s="28"/>
      <c r="X12" s="29"/>
      <c r="Y12" s="27"/>
      <c r="Z12" s="28"/>
      <c r="AA12" s="30"/>
      <c r="AB12" s="31"/>
      <c r="AC12" s="250"/>
      <c r="AI12">
        <f>_xlfn.IFNA(MATCH(Legends!$B$5, L12:AA12,0), 999)</f>
        <v>999</v>
      </c>
      <c r="AJ12">
        <f>_xlfn.IFNA(MATCH(Legends!$B$8, L12:AA12,0), 999)</f>
        <v>999</v>
      </c>
      <c r="AK12">
        <f>_xlfn.IFNA(MATCH(Legends!$B$9, L12:AA12,0), 999)</f>
        <v>999</v>
      </c>
      <c r="AL12">
        <f>_xlfn.IFNA(MATCH(Legends!$B$6, L12:AA12,0),999)</f>
        <v>999</v>
      </c>
      <c r="AM12">
        <f>_xlfn.IFNA(MATCH(Legends!$B$7, 'Advisor View'!L12:AA12, 0), 999)</f>
        <v>999</v>
      </c>
      <c r="AN12">
        <f t="shared" si="1"/>
        <v>999</v>
      </c>
      <c r="AO12">
        <f t="shared" si="0"/>
        <v>0</v>
      </c>
      <c r="AP12">
        <f t="shared" si="2"/>
        <v>0</v>
      </c>
      <c r="AQ12">
        <f t="shared" si="3"/>
        <v>0</v>
      </c>
      <c r="AR12">
        <f t="shared" si="4"/>
        <v>0</v>
      </c>
      <c r="AS12">
        <f t="shared" si="5"/>
        <v>0</v>
      </c>
      <c r="AT12">
        <f t="shared" si="6"/>
        <v>0</v>
      </c>
      <c r="AU12">
        <f t="shared" si="7"/>
        <v>0</v>
      </c>
      <c r="AV12">
        <f t="shared" si="8"/>
        <v>0</v>
      </c>
    </row>
    <row r="13" spans="1:48" x14ac:dyDescent="0.45">
      <c r="A13" s="207"/>
      <c r="B13" s="254"/>
      <c r="C13" s="9"/>
      <c r="D13" s="10"/>
      <c r="E13" s="10"/>
      <c r="F13" s="10"/>
      <c r="G13" s="11"/>
      <c r="H13" s="12"/>
      <c r="I13" s="13"/>
      <c r="J13" s="14"/>
      <c r="K13" s="11"/>
      <c r="L13" s="12"/>
      <c r="M13" s="15"/>
      <c r="N13" s="16"/>
      <c r="O13" s="17"/>
      <c r="P13" s="15"/>
      <c r="Q13" s="16"/>
      <c r="R13" s="17"/>
      <c r="S13" s="15"/>
      <c r="T13" s="16"/>
      <c r="U13" s="17"/>
      <c r="V13" s="15"/>
      <c r="W13" s="16"/>
      <c r="X13" s="17"/>
      <c r="Y13" s="15"/>
      <c r="Z13" s="16"/>
      <c r="AA13" s="18"/>
      <c r="AB13" s="19"/>
      <c r="AC13" s="250"/>
      <c r="AI13">
        <f>_xlfn.IFNA(MATCH(Legends!$B$5, L13:AA13,0), 999)</f>
        <v>999</v>
      </c>
      <c r="AJ13">
        <f>_xlfn.IFNA(MATCH(Legends!$B$8, L13:AA13,0), 999)</f>
        <v>999</v>
      </c>
      <c r="AK13">
        <f>_xlfn.IFNA(MATCH(Legends!$B$9, L13:AA13,0), 999)</f>
        <v>999</v>
      </c>
      <c r="AL13">
        <f>_xlfn.IFNA(MATCH(Legends!$B$6, L13:AA13,0),999)</f>
        <v>999</v>
      </c>
      <c r="AM13">
        <f>_xlfn.IFNA(MATCH(Legends!$B$7, 'Advisor View'!L13:AA13, 0), 999)</f>
        <v>999</v>
      </c>
      <c r="AN13">
        <f t="shared" ref="AN13:AN17" si="9">MIN(IF(ISERROR(AI13), 999, AI13), IF(ISERROR(AL13), 999, AL13), IF(ISERROR(AM13), 999, AM13))</f>
        <v>999</v>
      </c>
      <c r="AO13">
        <f t="shared" si="0"/>
        <v>0</v>
      </c>
      <c r="AP13">
        <f t="shared" si="2"/>
        <v>0</v>
      </c>
      <c r="AQ13">
        <f t="shared" si="3"/>
        <v>0</v>
      </c>
      <c r="AR13">
        <f t="shared" si="4"/>
        <v>0</v>
      </c>
      <c r="AS13">
        <f t="shared" si="5"/>
        <v>0</v>
      </c>
      <c r="AT13">
        <f t="shared" si="6"/>
        <v>0</v>
      </c>
      <c r="AU13">
        <f t="shared" si="7"/>
        <v>0</v>
      </c>
      <c r="AV13">
        <f t="shared" si="8"/>
        <v>0</v>
      </c>
    </row>
    <row r="14" spans="1:48" x14ac:dyDescent="0.45">
      <c r="A14" s="207"/>
      <c r="B14" s="254"/>
      <c r="C14" s="20"/>
      <c r="D14" s="21"/>
      <c r="E14" s="21"/>
      <c r="F14" s="21"/>
      <c r="G14" s="22"/>
      <c r="H14" s="23"/>
      <c r="I14" s="24"/>
      <c r="J14" s="25"/>
      <c r="K14" s="22" t="s">
        <v>4</v>
      </c>
      <c r="L14" s="26"/>
      <c r="M14" s="27"/>
      <c r="N14" s="28"/>
      <c r="O14" s="29"/>
      <c r="P14" s="27"/>
      <c r="Q14" s="28"/>
      <c r="R14" s="29"/>
      <c r="S14" s="27"/>
      <c r="T14" s="28"/>
      <c r="U14" s="29"/>
      <c r="V14" s="27"/>
      <c r="W14" s="28"/>
      <c r="X14" s="29"/>
      <c r="Y14" s="27"/>
      <c r="Z14" s="28"/>
      <c r="AA14" s="30"/>
      <c r="AB14" s="31"/>
      <c r="AC14" s="250"/>
      <c r="AI14">
        <f>_xlfn.IFNA(MATCH(Legends!$B$5, L14:AA14,0), 999)</f>
        <v>999</v>
      </c>
      <c r="AJ14">
        <f>_xlfn.IFNA(MATCH(Legends!$B$8, L14:AA14,0), 999)</f>
        <v>999</v>
      </c>
      <c r="AK14">
        <f>_xlfn.IFNA(MATCH(Legends!$B$9, L14:AA14,0), 999)</f>
        <v>999</v>
      </c>
      <c r="AL14">
        <f>_xlfn.IFNA(MATCH(Legends!$B$6, L14:AA14,0),999)</f>
        <v>999</v>
      </c>
      <c r="AM14">
        <f>_xlfn.IFNA(MATCH(Legends!$B$7, 'Advisor View'!L14:AA14, 0), 999)</f>
        <v>999</v>
      </c>
      <c r="AN14">
        <f t="shared" si="9"/>
        <v>999</v>
      </c>
      <c r="AO14">
        <f t="shared" si="0"/>
        <v>0</v>
      </c>
      <c r="AP14">
        <f t="shared" si="2"/>
        <v>0</v>
      </c>
      <c r="AQ14">
        <f t="shared" si="3"/>
        <v>0</v>
      </c>
      <c r="AR14">
        <f t="shared" si="4"/>
        <v>0</v>
      </c>
      <c r="AS14">
        <f t="shared" si="5"/>
        <v>0</v>
      </c>
      <c r="AT14">
        <f t="shared" si="6"/>
        <v>0</v>
      </c>
      <c r="AU14">
        <f t="shared" si="7"/>
        <v>0</v>
      </c>
      <c r="AV14">
        <f t="shared" si="8"/>
        <v>0</v>
      </c>
    </row>
    <row r="15" spans="1:48" x14ac:dyDescent="0.45">
      <c r="A15" s="207"/>
      <c r="B15" s="254"/>
      <c r="C15" s="9"/>
      <c r="D15" s="10"/>
      <c r="E15" s="10"/>
      <c r="F15" s="10"/>
      <c r="G15" s="11"/>
      <c r="H15" s="12"/>
      <c r="I15" s="13"/>
      <c r="J15" s="14"/>
      <c r="K15" s="11"/>
      <c r="L15" s="12"/>
      <c r="M15" s="15"/>
      <c r="N15" s="16"/>
      <c r="O15" s="17"/>
      <c r="P15" s="15"/>
      <c r="Q15" s="16"/>
      <c r="R15" s="17"/>
      <c r="S15" s="15"/>
      <c r="T15" s="16"/>
      <c r="U15" s="17"/>
      <c r="V15" s="15"/>
      <c r="W15" s="16"/>
      <c r="X15" s="17"/>
      <c r="Y15" s="15"/>
      <c r="Z15" s="16"/>
      <c r="AA15" s="18"/>
      <c r="AB15" s="19"/>
      <c r="AC15" s="4" t="s">
        <v>29</v>
      </c>
      <c r="AI15">
        <f>_xlfn.IFNA(MATCH(Legends!$B$5, L15:AA15,0), 999)</f>
        <v>999</v>
      </c>
      <c r="AJ15">
        <f>_xlfn.IFNA(MATCH(Legends!$B$8, L15:AA15,0), 999)</f>
        <v>999</v>
      </c>
      <c r="AK15">
        <f>_xlfn.IFNA(MATCH(Legends!$B$9, L15:AA15,0), 999)</f>
        <v>999</v>
      </c>
      <c r="AL15">
        <f>_xlfn.IFNA(MATCH(Legends!$B$6, L15:AA15,0),999)</f>
        <v>999</v>
      </c>
      <c r="AM15">
        <f>_xlfn.IFNA(MATCH(Legends!$B$7, 'Advisor View'!L15:AA15, 0), 999)</f>
        <v>999</v>
      </c>
      <c r="AN15">
        <f t="shared" si="9"/>
        <v>999</v>
      </c>
      <c r="AO15">
        <f t="shared" si="0"/>
        <v>0</v>
      </c>
      <c r="AP15">
        <f t="shared" si="2"/>
        <v>0</v>
      </c>
      <c r="AQ15">
        <f t="shared" si="3"/>
        <v>0</v>
      </c>
      <c r="AR15">
        <f t="shared" si="4"/>
        <v>0</v>
      </c>
      <c r="AS15">
        <f t="shared" si="5"/>
        <v>0</v>
      </c>
      <c r="AT15">
        <f t="shared" si="6"/>
        <v>0</v>
      </c>
      <c r="AU15">
        <f t="shared" si="7"/>
        <v>0</v>
      </c>
      <c r="AV15">
        <f t="shared" si="8"/>
        <v>0</v>
      </c>
    </row>
    <row r="16" spans="1:48" x14ac:dyDescent="0.45">
      <c r="A16" s="207"/>
      <c r="B16" s="254"/>
      <c r="C16" s="20"/>
      <c r="D16" s="21"/>
      <c r="E16" s="21"/>
      <c r="F16" s="21"/>
      <c r="G16" s="22"/>
      <c r="H16" s="23"/>
      <c r="I16" s="24"/>
      <c r="J16" s="25"/>
      <c r="K16" s="22"/>
      <c r="L16" s="26"/>
      <c r="M16" s="27"/>
      <c r="N16" s="28"/>
      <c r="O16" s="29"/>
      <c r="P16" s="27"/>
      <c r="Q16" s="28"/>
      <c r="R16" s="29"/>
      <c r="S16" s="27"/>
      <c r="T16" s="28"/>
      <c r="U16" s="29"/>
      <c r="V16" s="27"/>
      <c r="W16" s="28"/>
      <c r="X16" s="29"/>
      <c r="Y16" s="27"/>
      <c r="Z16" s="28"/>
      <c r="AA16" s="30"/>
      <c r="AB16" s="31"/>
      <c r="AC16" s="250">
        <f>SUM(G5:G17)</f>
        <v>18</v>
      </c>
      <c r="AI16">
        <f>_xlfn.IFNA(MATCH(Legends!$B$5, L16:AA16,0), 999)</f>
        <v>999</v>
      </c>
      <c r="AJ16">
        <f>_xlfn.IFNA(MATCH(Legends!$B$8, L16:AA16,0), 999)</f>
        <v>999</v>
      </c>
      <c r="AK16">
        <f>_xlfn.IFNA(MATCH(Legends!$B$9, L16:AA16,0), 999)</f>
        <v>999</v>
      </c>
      <c r="AL16">
        <f>_xlfn.IFNA(MATCH(Legends!$B$6, L16:AA16,0),999)</f>
        <v>999</v>
      </c>
      <c r="AM16">
        <f>_xlfn.IFNA(MATCH(Legends!$B$7, 'Advisor View'!L16:AA16, 0), 999)</f>
        <v>999</v>
      </c>
      <c r="AN16">
        <f t="shared" si="9"/>
        <v>999</v>
      </c>
      <c r="AO16">
        <f t="shared" si="0"/>
        <v>0</v>
      </c>
      <c r="AP16">
        <f t="shared" si="2"/>
        <v>0</v>
      </c>
      <c r="AQ16">
        <f t="shared" si="3"/>
        <v>0</v>
      </c>
      <c r="AR16">
        <f t="shared" si="4"/>
        <v>0</v>
      </c>
      <c r="AS16">
        <f t="shared" si="5"/>
        <v>0</v>
      </c>
      <c r="AT16">
        <f t="shared" si="6"/>
        <v>0</v>
      </c>
      <c r="AU16">
        <f t="shared" si="7"/>
        <v>0</v>
      </c>
      <c r="AV16">
        <f t="shared" si="8"/>
        <v>0</v>
      </c>
    </row>
    <row r="17" spans="1:48" ht="14.65" thickBot="1" x14ac:dyDescent="0.5">
      <c r="A17" s="207"/>
      <c r="B17" s="254"/>
      <c r="C17" s="9"/>
      <c r="D17" s="10"/>
      <c r="E17" s="10"/>
      <c r="F17" s="10"/>
      <c r="G17" s="11"/>
      <c r="H17" s="12"/>
      <c r="I17" s="13"/>
      <c r="J17" s="14"/>
      <c r="K17" s="11"/>
      <c r="L17" s="12"/>
      <c r="M17" s="15"/>
      <c r="N17" s="16"/>
      <c r="O17" s="17"/>
      <c r="P17" s="15"/>
      <c r="Q17" s="16"/>
      <c r="R17" s="17"/>
      <c r="S17" s="15"/>
      <c r="T17" s="16"/>
      <c r="U17" s="17"/>
      <c r="V17" s="15"/>
      <c r="W17" s="16"/>
      <c r="X17" s="17"/>
      <c r="Y17" s="15"/>
      <c r="Z17" s="16"/>
      <c r="AA17" s="18"/>
      <c r="AB17" s="19"/>
      <c r="AC17" s="259"/>
      <c r="AI17">
        <f>_xlfn.IFNA(MATCH(Legends!$B$5, L17:AA17,0), 999)</f>
        <v>999</v>
      </c>
      <c r="AJ17">
        <f>_xlfn.IFNA(MATCH(Legends!$B$8, L17:AA17,0), 999)</f>
        <v>999</v>
      </c>
      <c r="AK17">
        <f>_xlfn.IFNA(MATCH(Legends!$B$9, L17:AA17,0), 999)</f>
        <v>999</v>
      </c>
      <c r="AL17">
        <f>_xlfn.IFNA(MATCH(Legends!$B$6, L17:AA17,0),999)</f>
        <v>999</v>
      </c>
      <c r="AM17">
        <f>_xlfn.IFNA(MATCH(Legends!$B$7, 'Advisor View'!L17:AA17, 0), 999)</f>
        <v>999</v>
      </c>
      <c r="AN17">
        <f t="shared" si="9"/>
        <v>999</v>
      </c>
      <c r="AO17">
        <f t="shared" si="0"/>
        <v>0</v>
      </c>
      <c r="AP17">
        <f t="shared" si="2"/>
        <v>0</v>
      </c>
      <c r="AQ17">
        <f t="shared" si="3"/>
        <v>0</v>
      </c>
      <c r="AR17">
        <f t="shared" si="4"/>
        <v>0</v>
      </c>
      <c r="AS17">
        <f t="shared" si="5"/>
        <v>0</v>
      </c>
      <c r="AT17">
        <f t="shared" si="6"/>
        <v>0</v>
      </c>
      <c r="AU17">
        <f t="shared" si="7"/>
        <v>0</v>
      </c>
      <c r="AV17">
        <f t="shared" si="8"/>
        <v>0</v>
      </c>
    </row>
    <row r="18" spans="1:48" ht="15" customHeight="1" x14ac:dyDescent="0.45">
      <c r="A18" s="207"/>
      <c r="B18" s="209"/>
      <c r="C18" s="218" t="s">
        <v>0</v>
      </c>
      <c r="D18" s="215" t="s">
        <v>155</v>
      </c>
      <c r="E18" s="216"/>
      <c r="F18" s="216"/>
      <c r="G18" s="217"/>
      <c r="H18" s="211" t="s">
        <v>7</v>
      </c>
      <c r="I18" s="211"/>
      <c r="J18" s="211" t="s">
        <v>8</v>
      </c>
      <c r="K18" s="211"/>
      <c r="L18" s="212" t="s">
        <v>22</v>
      </c>
      <c r="M18" s="211" t="str">
        <f>CONCATENATE(('Student Profile'!$C$8+0), " - ", ('Student Profile'!$C$8+1))</f>
        <v>2025 - 2026</v>
      </c>
      <c r="N18" s="211"/>
      <c r="O18" s="211"/>
      <c r="P18" s="211" t="str">
        <f>CONCATENATE(('Student Profile'!$C$8+1), " - ", ('Student Profile'!$C$8+2))</f>
        <v>2026 - 2027</v>
      </c>
      <c r="Q18" s="211"/>
      <c r="R18" s="211"/>
      <c r="S18" s="211" t="str">
        <f>CONCATENATE(('Student Profile'!$C$8+2), " - ", ('Student Profile'!$C$8+3))</f>
        <v>2027 - 2028</v>
      </c>
      <c r="T18" s="211"/>
      <c r="U18" s="211"/>
      <c r="V18" s="211" t="str">
        <f>CONCATENATE(('Student Profile'!$C$8+3), " - ", ('Student Profile'!$C$8+4))</f>
        <v>2028 - 2029</v>
      </c>
      <c r="W18" s="211"/>
      <c r="X18" s="211"/>
      <c r="Y18" s="211" t="str">
        <f>CONCATENATE(('Student Profile'!$C$8+4), " - ", ('Student Profile'!$C$8+5))</f>
        <v>2029 - 2030</v>
      </c>
      <c r="Z18" s="211"/>
      <c r="AA18" s="211"/>
      <c r="AB18" s="252" t="s">
        <v>21</v>
      </c>
      <c r="AC18" s="248" t="s">
        <v>28</v>
      </c>
      <c r="AI18" s="98">
        <v>999</v>
      </c>
      <c r="AJ18" s="98">
        <v>999</v>
      </c>
      <c r="AK18" s="98">
        <v>999</v>
      </c>
      <c r="AL18" s="98">
        <v>999</v>
      </c>
      <c r="AM18" s="98">
        <v>999</v>
      </c>
      <c r="AN18" s="70"/>
      <c r="AO18" s="70"/>
    </row>
    <row r="19" spans="1:48" ht="14.65" thickBot="1" x14ac:dyDescent="0.5">
      <c r="A19" s="207"/>
      <c r="B19" s="210"/>
      <c r="C19" s="219"/>
      <c r="D19" s="132" t="s">
        <v>1</v>
      </c>
      <c r="E19" s="132" t="s">
        <v>9</v>
      </c>
      <c r="F19" s="132" t="s">
        <v>10</v>
      </c>
      <c r="G19" s="124" t="s">
        <v>2</v>
      </c>
      <c r="H19" s="124">
        <v>1</v>
      </c>
      <c r="I19" s="124">
        <v>2</v>
      </c>
      <c r="J19" s="124">
        <v>1</v>
      </c>
      <c r="K19" s="124">
        <v>2</v>
      </c>
      <c r="L19" s="213"/>
      <c r="M19" s="124" t="s">
        <v>9</v>
      </c>
      <c r="N19" s="124" t="s">
        <v>10</v>
      </c>
      <c r="O19" s="133" t="s">
        <v>11</v>
      </c>
      <c r="P19" s="124" t="s">
        <v>9</v>
      </c>
      <c r="Q19" s="124" t="s">
        <v>10</v>
      </c>
      <c r="R19" s="133" t="s">
        <v>11</v>
      </c>
      <c r="S19" s="124" t="s">
        <v>9</v>
      </c>
      <c r="T19" s="124" t="s">
        <v>10</v>
      </c>
      <c r="U19" s="133" t="s">
        <v>11</v>
      </c>
      <c r="V19" s="124" t="s">
        <v>9</v>
      </c>
      <c r="W19" s="124" t="s">
        <v>10</v>
      </c>
      <c r="X19" s="133" t="s">
        <v>11</v>
      </c>
      <c r="Y19" s="124" t="s">
        <v>9</v>
      </c>
      <c r="Z19" s="124" t="s">
        <v>10</v>
      </c>
      <c r="AA19" s="133" t="s">
        <v>11</v>
      </c>
      <c r="AB19" s="253"/>
      <c r="AC19" s="249"/>
      <c r="AI19" s="98">
        <v>999</v>
      </c>
      <c r="AJ19" s="98">
        <v>999</v>
      </c>
      <c r="AK19" s="98">
        <v>999</v>
      </c>
      <c r="AL19" s="98">
        <v>999</v>
      </c>
      <c r="AM19" s="98">
        <v>999</v>
      </c>
    </row>
    <row r="20" spans="1:48" ht="15" customHeight="1" x14ac:dyDescent="0.45">
      <c r="A20" s="207"/>
      <c r="B20" s="254" t="s">
        <v>3</v>
      </c>
      <c r="C20" s="138" t="s">
        <v>134</v>
      </c>
      <c r="D20" s="139" t="s">
        <v>46</v>
      </c>
      <c r="E20" s="10" t="s">
        <v>9</v>
      </c>
      <c r="F20" s="10" t="s">
        <v>10</v>
      </c>
      <c r="G20" s="11">
        <v>3</v>
      </c>
      <c r="H20" s="12" t="s">
        <v>133</v>
      </c>
      <c r="I20" s="13"/>
      <c r="J20" s="14"/>
      <c r="K20" s="11" t="s">
        <v>4</v>
      </c>
      <c r="L20" s="12"/>
      <c r="M20" s="15" t="s">
        <v>11</v>
      </c>
      <c r="N20" s="16"/>
      <c r="O20" s="17"/>
      <c r="P20" s="15"/>
      <c r="Q20" s="16"/>
      <c r="R20" s="17"/>
      <c r="S20" s="15"/>
      <c r="T20" s="16"/>
      <c r="U20" s="17"/>
      <c r="V20" s="15"/>
      <c r="W20" s="16"/>
      <c r="X20" s="17"/>
      <c r="Y20" s="15"/>
      <c r="Z20" s="16"/>
      <c r="AA20" s="18"/>
      <c r="AB20" s="19"/>
      <c r="AC20" s="250">
        <f>SUM(AO20:AO40)</f>
        <v>12</v>
      </c>
      <c r="AI20">
        <f>_xlfn.IFNA(MATCH(Legends!$B$5, L20:AA20,0), 999)</f>
        <v>999</v>
      </c>
      <c r="AJ20">
        <f>_xlfn.IFNA(MATCH(Legends!$B$8, L20:AA20,0), 999)</f>
        <v>999</v>
      </c>
      <c r="AK20">
        <f>_xlfn.IFNA(MATCH(Legends!$B$9, L20:AA20,0), 999)</f>
        <v>999</v>
      </c>
      <c r="AL20">
        <f>_xlfn.IFNA(MATCH(Legends!$B$6, L20:AA20,0),999)</f>
        <v>999</v>
      </c>
      <c r="AM20">
        <f>_xlfn.IFNA(MATCH(Legends!$B$7, 'Advisor View'!L20:AA20, 0), 999)</f>
        <v>2</v>
      </c>
      <c r="AN20">
        <f>MIN(IF(ISERROR(AI20), 999, AI20), IF(ISERROR(AL20), 999, AL20), IF(ISERROR(AM20), 999, AM20))</f>
        <v>2</v>
      </c>
      <c r="AO20">
        <f t="shared" ref="AO20:AO40" si="10">IF(AN20&lt;999,G20,0)</f>
        <v>3</v>
      </c>
      <c r="AP20">
        <f t="shared" si="2"/>
        <v>0</v>
      </c>
      <c r="AQ20">
        <f t="shared" si="3"/>
        <v>0</v>
      </c>
      <c r="AR20">
        <f t="shared" si="4"/>
        <v>1</v>
      </c>
      <c r="AS20">
        <f t="shared" si="5"/>
        <v>0</v>
      </c>
      <c r="AT20">
        <f t="shared" si="6"/>
        <v>0</v>
      </c>
      <c r="AU20">
        <f t="shared" si="7"/>
        <v>1</v>
      </c>
      <c r="AV20">
        <f t="shared" si="8"/>
        <v>0</v>
      </c>
    </row>
    <row r="21" spans="1:48" x14ac:dyDescent="0.45">
      <c r="A21" s="207"/>
      <c r="B21" s="254"/>
      <c r="C21" s="20" t="s">
        <v>136</v>
      </c>
      <c r="D21" s="21" t="s">
        <v>47</v>
      </c>
      <c r="E21" s="21" t="s">
        <v>9</v>
      </c>
      <c r="F21" s="21"/>
      <c r="G21" s="22">
        <v>3</v>
      </c>
      <c r="H21" s="23" t="s">
        <v>132</v>
      </c>
      <c r="I21" s="24"/>
      <c r="J21" s="25" t="s">
        <v>138</v>
      </c>
      <c r="K21" s="22" t="s">
        <v>4</v>
      </c>
      <c r="L21" s="26"/>
      <c r="M21" s="27" t="s">
        <v>11</v>
      </c>
      <c r="N21" s="28"/>
      <c r="O21" s="29"/>
      <c r="P21" s="27"/>
      <c r="Q21" s="28"/>
      <c r="R21" s="29"/>
      <c r="S21" s="27"/>
      <c r="T21" s="28"/>
      <c r="U21" s="29"/>
      <c r="V21" s="27"/>
      <c r="W21" s="28"/>
      <c r="X21" s="29"/>
      <c r="Y21" s="27"/>
      <c r="Z21" s="28"/>
      <c r="AA21" s="30"/>
      <c r="AB21" s="31"/>
      <c r="AC21" s="250"/>
      <c r="AI21">
        <f>_xlfn.IFNA(MATCH(Legends!$B$5, L21:AA21,0), 999)</f>
        <v>999</v>
      </c>
      <c r="AJ21">
        <f>_xlfn.IFNA(MATCH(Legends!$B$8, L21:AA21,0), 999)</f>
        <v>999</v>
      </c>
      <c r="AK21">
        <f>_xlfn.IFNA(MATCH(Legends!$B$9, L21:AA21,0), 999)</f>
        <v>999</v>
      </c>
      <c r="AL21">
        <f>_xlfn.IFNA(MATCH(Legends!$B$6, L21:AA21,0),999)</f>
        <v>999</v>
      </c>
      <c r="AM21">
        <f>_xlfn.IFNA(MATCH(Legends!$B$7, 'Advisor View'!L21:AA21, 0), 999)</f>
        <v>2</v>
      </c>
      <c r="AN21">
        <f t="shared" ref="AN21:AN40" si="11">MIN(IF(ISERROR(AI21), 999, AI21), IF(ISERROR(AL21), 999, AL21), IF(ISERROR(AM21), 999, AM21))</f>
        <v>2</v>
      </c>
      <c r="AO21">
        <f t="shared" si="10"/>
        <v>3</v>
      </c>
      <c r="AP21">
        <f t="shared" si="2"/>
        <v>0</v>
      </c>
      <c r="AQ21">
        <f t="shared" si="3"/>
        <v>0</v>
      </c>
      <c r="AR21">
        <f t="shared" si="4"/>
        <v>1</v>
      </c>
      <c r="AS21">
        <f t="shared" si="5"/>
        <v>0</v>
      </c>
      <c r="AT21">
        <f t="shared" si="6"/>
        <v>0</v>
      </c>
      <c r="AU21">
        <f t="shared" si="7"/>
        <v>1</v>
      </c>
      <c r="AV21">
        <f t="shared" si="8"/>
        <v>0</v>
      </c>
    </row>
    <row r="22" spans="1:48" x14ac:dyDescent="0.45">
      <c r="A22" s="207"/>
      <c r="B22" s="254"/>
      <c r="C22" s="9" t="s">
        <v>146</v>
      </c>
      <c r="D22" s="10" t="s">
        <v>121</v>
      </c>
      <c r="E22" s="10" t="s">
        <v>9</v>
      </c>
      <c r="F22" s="10"/>
      <c r="G22" s="11">
        <v>3</v>
      </c>
      <c r="H22" s="12" t="s">
        <v>147</v>
      </c>
      <c r="I22" s="13" t="s">
        <v>132</v>
      </c>
      <c r="J22" s="14"/>
      <c r="K22" s="11" t="s">
        <v>4</v>
      </c>
      <c r="L22" s="157"/>
      <c r="M22" s="15" t="s">
        <v>11</v>
      </c>
      <c r="N22" s="16"/>
      <c r="O22" s="17"/>
      <c r="P22" s="15"/>
      <c r="Q22" s="16"/>
      <c r="R22" s="17"/>
      <c r="S22" s="15"/>
      <c r="T22" s="16"/>
      <c r="U22" s="17"/>
      <c r="V22" s="15"/>
      <c r="W22" s="16"/>
      <c r="X22" s="17"/>
      <c r="Y22" s="15"/>
      <c r="Z22" s="16"/>
      <c r="AA22" s="18"/>
      <c r="AB22" s="19"/>
      <c r="AC22" s="250"/>
      <c r="AI22">
        <f>_xlfn.IFNA(MATCH(Legends!$B$5, L22:AA22,0), 999)</f>
        <v>999</v>
      </c>
      <c r="AJ22">
        <f>_xlfn.IFNA(MATCH(Legends!$B$8, L22:AA22,0), 999)</f>
        <v>999</v>
      </c>
      <c r="AK22">
        <f>_xlfn.IFNA(MATCH(Legends!$B$9, L22:AA22,0), 999)</f>
        <v>999</v>
      </c>
      <c r="AL22">
        <f>_xlfn.IFNA(MATCH(Legends!$B$6, L22:AA22,0),999)</f>
        <v>999</v>
      </c>
      <c r="AM22">
        <f>_xlfn.IFNA(MATCH(Legends!$B$7, 'Advisor View'!L22:AA22, 0), 999)</f>
        <v>2</v>
      </c>
      <c r="AN22">
        <f t="shared" si="11"/>
        <v>2</v>
      </c>
      <c r="AO22">
        <f t="shared" si="10"/>
        <v>3</v>
      </c>
      <c r="AP22">
        <f t="shared" si="2"/>
        <v>0</v>
      </c>
      <c r="AQ22">
        <f t="shared" si="3"/>
        <v>0</v>
      </c>
      <c r="AR22">
        <f t="shared" si="4"/>
        <v>1</v>
      </c>
      <c r="AS22">
        <f t="shared" si="5"/>
        <v>0</v>
      </c>
      <c r="AT22">
        <f t="shared" si="6"/>
        <v>0</v>
      </c>
      <c r="AU22">
        <f t="shared" si="7"/>
        <v>1</v>
      </c>
      <c r="AV22">
        <f t="shared" si="8"/>
        <v>0</v>
      </c>
    </row>
    <row r="23" spans="1:48" x14ac:dyDescent="0.45">
      <c r="A23" s="207"/>
      <c r="B23" s="254"/>
      <c r="C23" s="20" t="s">
        <v>174</v>
      </c>
      <c r="D23" s="21" t="s">
        <v>173</v>
      </c>
      <c r="E23" s="21" t="s">
        <v>9</v>
      </c>
      <c r="F23" s="21" t="s">
        <v>10</v>
      </c>
      <c r="G23" s="22">
        <v>3</v>
      </c>
      <c r="H23" s="23"/>
      <c r="I23" s="24"/>
      <c r="J23" s="25"/>
      <c r="K23" s="22" t="s">
        <v>4</v>
      </c>
      <c r="L23" s="23"/>
      <c r="M23" s="27" t="s">
        <v>11</v>
      </c>
      <c r="N23" s="28"/>
      <c r="O23" s="29"/>
      <c r="P23" s="27"/>
      <c r="Q23" s="28"/>
      <c r="R23" s="29"/>
      <c r="S23" s="27"/>
      <c r="T23" s="28"/>
      <c r="U23" s="29"/>
      <c r="V23" s="27"/>
      <c r="W23" s="28"/>
      <c r="X23" s="29"/>
      <c r="Y23" s="27"/>
      <c r="Z23" s="28"/>
      <c r="AA23" s="30"/>
      <c r="AB23" s="31"/>
      <c r="AC23" s="250"/>
      <c r="AI23">
        <f>_xlfn.IFNA(MATCH(Legends!$B$5, L23:AA23,0), 999)</f>
        <v>999</v>
      </c>
      <c r="AJ23">
        <f>_xlfn.IFNA(MATCH(Legends!$B$8, L23:AA23,0), 999)</f>
        <v>999</v>
      </c>
      <c r="AK23">
        <f>_xlfn.IFNA(MATCH(Legends!$B$9, L23:AA23,0), 999)</f>
        <v>999</v>
      </c>
      <c r="AL23">
        <f>_xlfn.IFNA(MATCH(Legends!$B$6, L23:AA23,0),999)</f>
        <v>999</v>
      </c>
      <c r="AM23">
        <f>_xlfn.IFNA(MATCH(Legends!$B$7, 'Advisor View'!L23:AA23, 0), 999)</f>
        <v>2</v>
      </c>
      <c r="AN23">
        <f t="shared" si="11"/>
        <v>2</v>
      </c>
      <c r="AO23">
        <f t="shared" si="10"/>
        <v>3</v>
      </c>
      <c r="AP23">
        <f t="shared" si="2"/>
        <v>0</v>
      </c>
      <c r="AQ23">
        <f t="shared" si="3"/>
        <v>0</v>
      </c>
      <c r="AR23">
        <f t="shared" si="4"/>
        <v>1</v>
      </c>
      <c r="AS23">
        <f t="shared" si="5"/>
        <v>0</v>
      </c>
      <c r="AT23">
        <f t="shared" si="6"/>
        <v>0</v>
      </c>
      <c r="AU23">
        <f t="shared" si="7"/>
        <v>1</v>
      </c>
      <c r="AV23">
        <f t="shared" si="8"/>
        <v>0</v>
      </c>
    </row>
    <row r="24" spans="1:48" x14ac:dyDescent="0.45">
      <c r="A24" s="207"/>
      <c r="B24" s="254"/>
      <c r="C24" s="9"/>
      <c r="D24" s="10"/>
      <c r="E24" s="10"/>
      <c r="F24" s="10"/>
      <c r="G24" s="11"/>
      <c r="H24" s="12"/>
      <c r="I24" s="13"/>
      <c r="J24" s="14"/>
      <c r="K24" s="11" t="s">
        <v>4</v>
      </c>
      <c r="L24" s="12"/>
      <c r="M24" s="15"/>
      <c r="N24" s="16"/>
      <c r="O24" s="17"/>
      <c r="P24" s="15"/>
      <c r="Q24" s="16"/>
      <c r="R24" s="17"/>
      <c r="S24" s="15"/>
      <c r="T24" s="16"/>
      <c r="U24" s="17"/>
      <c r="V24" s="15"/>
      <c r="W24" s="16"/>
      <c r="X24" s="17"/>
      <c r="Y24" s="15"/>
      <c r="Z24" s="16"/>
      <c r="AA24" s="18"/>
      <c r="AB24" s="19"/>
      <c r="AC24" s="250"/>
      <c r="AI24">
        <f>_xlfn.IFNA(MATCH(Legends!$B$5, L24:AA24,0), 999)</f>
        <v>999</v>
      </c>
      <c r="AJ24">
        <f>_xlfn.IFNA(MATCH(Legends!$B$8, L24:AA24,0), 999)</f>
        <v>999</v>
      </c>
      <c r="AK24">
        <f>_xlfn.IFNA(MATCH(Legends!$B$9, L24:AA24,0), 999)</f>
        <v>999</v>
      </c>
      <c r="AL24">
        <f>_xlfn.IFNA(MATCH(Legends!$B$6, L24:AA24,0),999)</f>
        <v>999</v>
      </c>
      <c r="AM24">
        <f>_xlfn.IFNA(MATCH(Legends!$B$7, 'Advisor View'!L24:AA24, 0), 999)</f>
        <v>999</v>
      </c>
      <c r="AN24">
        <f t="shared" si="11"/>
        <v>999</v>
      </c>
      <c r="AO24">
        <f t="shared" si="10"/>
        <v>0</v>
      </c>
      <c r="AP24">
        <f t="shared" si="2"/>
        <v>0</v>
      </c>
      <c r="AQ24">
        <f t="shared" si="3"/>
        <v>0</v>
      </c>
      <c r="AR24">
        <f t="shared" si="4"/>
        <v>0</v>
      </c>
      <c r="AS24">
        <f t="shared" si="5"/>
        <v>0</v>
      </c>
      <c r="AT24">
        <f t="shared" si="6"/>
        <v>0</v>
      </c>
      <c r="AU24">
        <f t="shared" si="7"/>
        <v>0</v>
      </c>
      <c r="AV24">
        <f t="shared" si="8"/>
        <v>0</v>
      </c>
    </row>
    <row r="25" spans="1:48" x14ac:dyDescent="0.45">
      <c r="A25" s="207"/>
      <c r="B25" s="254"/>
      <c r="C25" s="20"/>
      <c r="D25" s="21"/>
      <c r="E25" s="21"/>
      <c r="F25" s="21"/>
      <c r="G25" s="22"/>
      <c r="H25" s="23"/>
      <c r="I25" s="24"/>
      <c r="J25" s="25"/>
      <c r="K25" s="22"/>
      <c r="L25" s="23"/>
      <c r="M25" s="27"/>
      <c r="N25" s="28"/>
      <c r="O25" s="29"/>
      <c r="P25" s="27"/>
      <c r="Q25" s="28"/>
      <c r="R25" s="29"/>
      <c r="S25" s="27"/>
      <c r="T25" s="28"/>
      <c r="U25" s="29"/>
      <c r="V25" s="27"/>
      <c r="W25" s="28"/>
      <c r="X25" s="29"/>
      <c r="Y25" s="27"/>
      <c r="Z25" s="28"/>
      <c r="AA25" s="30"/>
      <c r="AB25" s="31"/>
      <c r="AC25" s="250"/>
      <c r="AI25">
        <f>_xlfn.IFNA(MATCH(Legends!$B$5, L25:AA25,0), 999)</f>
        <v>999</v>
      </c>
      <c r="AJ25">
        <f>_xlfn.IFNA(MATCH(Legends!$B$8, L25:AA25,0), 999)</f>
        <v>999</v>
      </c>
      <c r="AK25">
        <f>_xlfn.IFNA(MATCH(Legends!$B$9, L25:AA25,0), 999)</f>
        <v>999</v>
      </c>
      <c r="AL25">
        <f>_xlfn.IFNA(MATCH(Legends!$B$6, L25:AA25,0),999)</f>
        <v>999</v>
      </c>
      <c r="AM25">
        <f>_xlfn.IFNA(MATCH(Legends!$B$7, 'Advisor View'!L25:AA25, 0), 999)</f>
        <v>999</v>
      </c>
      <c r="AN25">
        <f t="shared" si="11"/>
        <v>999</v>
      </c>
      <c r="AO25">
        <f t="shared" si="10"/>
        <v>0</v>
      </c>
      <c r="AP25">
        <f t="shared" si="2"/>
        <v>0</v>
      </c>
      <c r="AQ25">
        <f t="shared" si="3"/>
        <v>0</v>
      </c>
      <c r="AR25">
        <f t="shared" si="4"/>
        <v>0</v>
      </c>
      <c r="AS25">
        <f t="shared" si="5"/>
        <v>0</v>
      </c>
      <c r="AT25">
        <f t="shared" si="6"/>
        <v>0</v>
      </c>
      <c r="AU25">
        <f t="shared" si="7"/>
        <v>0</v>
      </c>
      <c r="AV25">
        <f t="shared" si="8"/>
        <v>0</v>
      </c>
    </row>
    <row r="26" spans="1:48" x14ac:dyDescent="0.45">
      <c r="A26" s="207"/>
      <c r="B26" s="254"/>
      <c r="C26" s="9"/>
      <c r="D26" s="10"/>
      <c r="E26" s="10"/>
      <c r="F26" s="10"/>
      <c r="G26" s="11"/>
      <c r="H26" s="12"/>
      <c r="I26" s="13"/>
      <c r="J26" s="14"/>
      <c r="K26" s="11" t="s">
        <v>4</v>
      </c>
      <c r="L26" s="12"/>
      <c r="M26" s="15"/>
      <c r="N26" s="16"/>
      <c r="O26" s="17"/>
      <c r="P26" s="15"/>
      <c r="Q26" s="16"/>
      <c r="R26" s="17"/>
      <c r="S26" s="15"/>
      <c r="T26" s="16"/>
      <c r="U26" s="17"/>
      <c r="V26" s="15"/>
      <c r="W26" s="16"/>
      <c r="X26" s="17"/>
      <c r="Y26" s="15"/>
      <c r="Z26" s="16"/>
      <c r="AA26" s="18"/>
      <c r="AB26" s="19"/>
      <c r="AC26" s="250"/>
      <c r="AI26">
        <f>_xlfn.IFNA(MATCH(Legends!$B$5, L26:AA26,0), 999)</f>
        <v>999</v>
      </c>
      <c r="AJ26">
        <f>_xlfn.IFNA(MATCH(Legends!$B$8, L26:AA26,0), 999)</f>
        <v>999</v>
      </c>
      <c r="AK26">
        <f>_xlfn.IFNA(MATCH(Legends!$B$9, L26:AA26,0), 999)</f>
        <v>999</v>
      </c>
      <c r="AL26">
        <f>_xlfn.IFNA(MATCH(Legends!$B$6, L26:AA26,0),999)</f>
        <v>999</v>
      </c>
      <c r="AM26">
        <f>_xlfn.IFNA(MATCH(Legends!$B$7, 'Advisor View'!L26:AA26, 0), 999)</f>
        <v>999</v>
      </c>
      <c r="AN26">
        <f t="shared" si="11"/>
        <v>999</v>
      </c>
      <c r="AO26">
        <f t="shared" si="10"/>
        <v>0</v>
      </c>
      <c r="AP26">
        <f t="shared" si="2"/>
        <v>0</v>
      </c>
      <c r="AQ26">
        <f t="shared" si="3"/>
        <v>0</v>
      </c>
      <c r="AR26">
        <f t="shared" si="4"/>
        <v>0</v>
      </c>
      <c r="AS26">
        <f t="shared" si="5"/>
        <v>0</v>
      </c>
      <c r="AT26">
        <f t="shared" si="6"/>
        <v>0</v>
      </c>
      <c r="AU26">
        <f t="shared" si="7"/>
        <v>0</v>
      </c>
      <c r="AV26">
        <f t="shared" si="8"/>
        <v>0</v>
      </c>
    </row>
    <row r="27" spans="1:48" x14ac:dyDescent="0.45">
      <c r="A27" s="207"/>
      <c r="B27" s="254"/>
      <c r="C27" s="20"/>
      <c r="D27" s="21"/>
      <c r="E27" s="21"/>
      <c r="F27" s="21"/>
      <c r="G27" s="22"/>
      <c r="H27" s="23"/>
      <c r="I27" s="24"/>
      <c r="J27" s="24"/>
      <c r="K27" s="22"/>
      <c r="L27" s="26"/>
      <c r="M27" s="27"/>
      <c r="N27" s="28"/>
      <c r="O27" s="29"/>
      <c r="P27" s="27"/>
      <c r="Q27" s="28"/>
      <c r="R27" s="29"/>
      <c r="S27" s="27"/>
      <c r="T27" s="28"/>
      <c r="U27" s="29"/>
      <c r="V27" s="27"/>
      <c r="W27" s="28"/>
      <c r="X27" s="29"/>
      <c r="Y27" s="27"/>
      <c r="Z27" s="28"/>
      <c r="AA27" s="30"/>
      <c r="AB27" s="31"/>
      <c r="AC27" s="250"/>
      <c r="AI27">
        <f>_xlfn.IFNA(MATCH(Legends!$B$5, L27:AA27,0), 999)</f>
        <v>999</v>
      </c>
      <c r="AJ27">
        <f>_xlfn.IFNA(MATCH(Legends!$B$8, L27:AA27,0), 999)</f>
        <v>999</v>
      </c>
      <c r="AK27">
        <f>_xlfn.IFNA(MATCH(Legends!$B$9, L27:AA27,0), 999)</f>
        <v>999</v>
      </c>
      <c r="AL27">
        <f>_xlfn.IFNA(MATCH(Legends!$B$6, L27:AA27,0),999)</f>
        <v>999</v>
      </c>
      <c r="AM27">
        <f>_xlfn.IFNA(MATCH(Legends!$B$7, 'Advisor View'!L27:AA27, 0), 999)</f>
        <v>999</v>
      </c>
      <c r="AN27">
        <f t="shared" si="11"/>
        <v>999</v>
      </c>
      <c r="AO27">
        <f t="shared" si="10"/>
        <v>0</v>
      </c>
      <c r="AP27">
        <f t="shared" si="2"/>
        <v>0</v>
      </c>
      <c r="AQ27">
        <f t="shared" si="3"/>
        <v>0</v>
      </c>
      <c r="AR27">
        <f t="shared" si="4"/>
        <v>0</v>
      </c>
      <c r="AS27">
        <f t="shared" si="5"/>
        <v>0</v>
      </c>
      <c r="AT27">
        <f t="shared" si="6"/>
        <v>0</v>
      </c>
      <c r="AU27">
        <f t="shared" si="7"/>
        <v>0</v>
      </c>
      <c r="AV27">
        <f t="shared" si="8"/>
        <v>0</v>
      </c>
    </row>
    <row r="28" spans="1:48" x14ac:dyDescent="0.45">
      <c r="A28" s="207"/>
      <c r="B28" s="254"/>
      <c r="C28" s="9"/>
      <c r="D28" s="10"/>
      <c r="E28" s="10"/>
      <c r="F28" s="10"/>
      <c r="G28" s="11"/>
      <c r="H28" s="12"/>
      <c r="I28" s="13"/>
      <c r="J28" s="14"/>
      <c r="K28" s="11"/>
      <c r="L28" s="157"/>
      <c r="M28" s="15"/>
      <c r="N28" s="16"/>
      <c r="O28" s="17"/>
      <c r="P28" s="15"/>
      <c r="Q28" s="16"/>
      <c r="R28" s="17"/>
      <c r="S28" s="15"/>
      <c r="T28" s="16"/>
      <c r="U28" s="17"/>
      <c r="V28" s="15"/>
      <c r="W28" s="16"/>
      <c r="X28" s="17"/>
      <c r="Y28" s="15"/>
      <c r="Z28" s="16"/>
      <c r="AA28" s="18"/>
      <c r="AB28" s="19"/>
      <c r="AC28" s="250"/>
      <c r="AI28">
        <f>_xlfn.IFNA(MATCH(Legends!$B$5, L28:AA28,0), 999)</f>
        <v>999</v>
      </c>
      <c r="AJ28">
        <f>_xlfn.IFNA(MATCH(Legends!$B$8, L28:AA28,0), 999)</f>
        <v>999</v>
      </c>
      <c r="AK28">
        <f>_xlfn.IFNA(MATCH(Legends!$B$9, L28:AA28,0), 999)</f>
        <v>999</v>
      </c>
      <c r="AL28">
        <f>_xlfn.IFNA(MATCH(Legends!$B$6, L28:AA28,0),999)</f>
        <v>999</v>
      </c>
      <c r="AM28">
        <f>_xlfn.IFNA(MATCH(Legends!$B$7, 'Advisor View'!L28:AA28, 0), 999)</f>
        <v>999</v>
      </c>
      <c r="AN28">
        <f t="shared" si="11"/>
        <v>999</v>
      </c>
      <c r="AO28">
        <f t="shared" si="10"/>
        <v>0</v>
      </c>
      <c r="AP28">
        <f t="shared" si="2"/>
        <v>0</v>
      </c>
      <c r="AQ28">
        <f t="shared" si="3"/>
        <v>0</v>
      </c>
      <c r="AR28">
        <f t="shared" si="4"/>
        <v>0</v>
      </c>
      <c r="AS28">
        <f t="shared" si="5"/>
        <v>0</v>
      </c>
      <c r="AT28">
        <f t="shared" si="6"/>
        <v>0</v>
      </c>
      <c r="AU28">
        <f t="shared" si="7"/>
        <v>0</v>
      </c>
      <c r="AV28">
        <f t="shared" si="8"/>
        <v>0</v>
      </c>
    </row>
    <row r="29" spans="1:48" x14ac:dyDescent="0.45">
      <c r="A29" s="207"/>
      <c r="B29" s="254"/>
      <c r="C29" s="136"/>
      <c r="D29" s="137"/>
      <c r="E29" s="21"/>
      <c r="F29" s="21"/>
      <c r="G29" s="22"/>
      <c r="H29" s="155"/>
      <c r="I29" s="156"/>
      <c r="J29" s="25"/>
      <c r="K29" s="22" t="s">
        <v>4</v>
      </c>
      <c r="L29" s="26"/>
      <c r="M29" s="27"/>
      <c r="N29" s="28"/>
      <c r="O29" s="29"/>
      <c r="P29" s="27"/>
      <c r="Q29" s="28"/>
      <c r="R29" s="29"/>
      <c r="S29" s="27"/>
      <c r="T29" s="28"/>
      <c r="U29" s="29"/>
      <c r="V29" s="27"/>
      <c r="W29" s="28"/>
      <c r="X29" s="29"/>
      <c r="Y29" s="27"/>
      <c r="Z29" s="28"/>
      <c r="AA29" s="30"/>
      <c r="AB29" s="31"/>
      <c r="AC29" s="250"/>
      <c r="AE29" t="s">
        <v>124</v>
      </c>
      <c r="AF29" s="98" t="s">
        <v>125</v>
      </c>
      <c r="AI29">
        <f>_xlfn.IFNA(MATCH(Legends!$B$5, L29:AA29,0), 999)</f>
        <v>999</v>
      </c>
      <c r="AJ29">
        <f>_xlfn.IFNA(MATCH(Legends!$B$8, L29:AA29,0), 999)</f>
        <v>999</v>
      </c>
      <c r="AK29">
        <f>_xlfn.IFNA(MATCH(Legends!$B$9, L29:AA29,0), 999)</f>
        <v>999</v>
      </c>
      <c r="AL29">
        <f>_xlfn.IFNA(MATCH(Legends!$B$6, L29:AA29,0),999)</f>
        <v>999</v>
      </c>
      <c r="AM29">
        <f>_xlfn.IFNA(MATCH(Legends!$B$7, 'Advisor View'!L29:AA29, 0), 999)</f>
        <v>999</v>
      </c>
      <c r="AN29">
        <f t="shared" si="11"/>
        <v>999</v>
      </c>
      <c r="AO29">
        <f t="shared" si="10"/>
        <v>0</v>
      </c>
      <c r="AP29">
        <f t="shared" si="2"/>
        <v>0</v>
      </c>
      <c r="AQ29">
        <f t="shared" si="3"/>
        <v>0</v>
      </c>
      <c r="AR29">
        <f t="shared" si="4"/>
        <v>0</v>
      </c>
      <c r="AS29">
        <f t="shared" si="5"/>
        <v>0</v>
      </c>
      <c r="AT29">
        <f t="shared" si="6"/>
        <v>0</v>
      </c>
      <c r="AU29">
        <f t="shared" si="7"/>
        <v>0</v>
      </c>
      <c r="AV29">
        <f t="shared" si="8"/>
        <v>0</v>
      </c>
    </row>
    <row r="30" spans="1:48" x14ac:dyDescent="0.45">
      <c r="A30" s="207"/>
      <c r="B30" s="254"/>
      <c r="C30" s="9"/>
      <c r="D30" s="10"/>
      <c r="E30" s="10"/>
      <c r="F30" s="10"/>
      <c r="G30" s="11"/>
      <c r="H30" s="12"/>
      <c r="I30" s="13"/>
      <c r="J30" s="14"/>
      <c r="K30" s="11" t="s">
        <v>4</v>
      </c>
      <c r="L30" s="12"/>
      <c r="M30" s="15"/>
      <c r="N30" s="16"/>
      <c r="O30" s="17"/>
      <c r="P30" s="15"/>
      <c r="Q30" s="16"/>
      <c r="R30" s="17"/>
      <c r="S30" s="15"/>
      <c r="T30" s="16"/>
      <c r="U30" s="17"/>
      <c r="V30" s="15"/>
      <c r="W30" s="16"/>
      <c r="X30" s="17"/>
      <c r="Y30" s="15"/>
      <c r="Z30" s="16"/>
      <c r="AA30" s="18"/>
      <c r="AB30" s="19"/>
      <c r="AC30" s="250"/>
      <c r="AI30">
        <f>_xlfn.IFNA(MATCH(Legends!$B$5, L30:AA30,0), 999)</f>
        <v>999</v>
      </c>
      <c r="AJ30">
        <f>_xlfn.IFNA(MATCH(Legends!$B$8, L30:AA30,0), 999)</f>
        <v>999</v>
      </c>
      <c r="AK30">
        <f>_xlfn.IFNA(MATCH(Legends!$B$9, L30:AA30,0), 999)</f>
        <v>999</v>
      </c>
      <c r="AL30">
        <f>_xlfn.IFNA(MATCH(Legends!$B$6, L30:AA30,0),999)</f>
        <v>999</v>
      </c>
      <c r="AM30">
        <f>_xlfn.IFNA(MATCH(Legends!$B$7, 'Advisor View'!L30:AA30, 0), 999)</f>
        <v>999</v>
      </c>
      <c r="AN30">
        <f t="shared" si="11"/>
        <v>999</v>
      </c>
      <c r="AO30">
        <f t="shared" si="10"/>
        <v>0</v>
      </c>
      <c r="AP30">
        <f t="shared" si="2"/>
        <v>0</v>
      </c>
      <c r="AQ30">
        <f t="shared" si="3"/>
        <v>0</v>
      </c>
      <c r="AR30">
        <f t="shared" si="4"/>
        <v>0</v>
      </c>
      <c r="AS30">
        <f t="shared" si="5"/>
        <v>0</v>
      </c>
      <c r="AT30">
        <f t="shared" si="6"/>
        <v>0</v>
      </c>
      <c r="AU30">
        <f t="shared" si="7"/>
        <v>0</v>
      </c>
      <c r="AV30">
        <f t="shared" si="8"/>
        <v>0</v>
      </c>
    </row>
    <row r="31" spans="1:48" x14ac:dyDescent="0.45">
      <c r="A31" s="207"/>
      <c r="B31" s="254"/>
      <c r="C31" s="20"/>
      <c r="D31" s="21"/>
      <c r="E31" s="21"/>
      <c r="F31" s="21"/>
      <c r="G31" s="22"/>
      <c r="H31" s="23"/>
      <c r="I31" s="24"/>
      <c r="J31" s="25"/>
      <c r="K31" s="22"/>
      <c r="L31" s="26"/>
      <c r="M31" s="27"/>
      <c r="N31" s="28"/>
      <c r="O31" s="29"/>
      <c r="P31" s="27"/>
      <c r="Q31" s="28"/>
      <c r="R31" s="29"/>
      <c r="S31" s="27"/>
      <c r="T31" s="28"/>
      <c r="U31" s="29"/>
      <c r="V31" s="27"/>
      <c r="W31" s="28"/>
      <c r="X31" s="29"/>
      <c r="Y31" s="27"/>
      <c r="Z31" s="28"/>
      <c r="AA31" s="30"/>
      <c r="AB31" s="31"/>
      <c r="AC31" s="250"/>
      <c r="AI31">
        <f>_xlfn.IFNA(MATCH(Legends!$B$5, L31:AA31,0), 999)</f>
        <v>999</v>
      </c>
      <c r="AJ31">
        <f>_xlfn.IFNA(MATCH(Legends!$B$8, L31:AA31,0), 999)</f>
        <v>999</v>
      </c>
      <c r="AK31">
        <f>_xlfn.IFNA(MATCH(Legends!$B$9, L31:AA31,0), 999)</f>
        <v>999</v>
      </c>
      <c r="AL31">
        <f>_xlfn.IFNA(MATCH(Legends!$B$6, L31:AA31,0),999)</f>
        <v>999</v>
      </c>
      <c r="AM31">
        <f>_xlfn.IFNA(MATCH(Legends!$B$7, 'Advisor View'!L31:AA31, 0), 999)</f>
        <v>999</v>
      </c>
      <c r="AN31">
        <f t="shared" si="11"/>
        <v>999</v>
      </c>
      <c r="AO31">
        <f t="shared" si="10"/>
        <v>0</v>
      </c>
      <c r="AP31">
        <f t="shared" si="2"/>
        <v>0</v>
      </c>
      <c r="AQ31">
        <f t="shared" si="3"/>
        <v>0</v>
      </c>
      <c r="AR31">
        <f t="shared" si="4"/>
        <v>0</v>
      </c>
      <c r="AS31">
        <f t="shared" si="5"/>
        <v>0</v>
      </c>
      <c r="AT31">
        <f t="shared" si="6"/>
        <v>0</v>
      </c>
      <c r="AU31">
        <f t="shared" si="7"/>
        <v>0</v>
      </c>
      <c r="AV31">
        <f t="shared" si="8"/>
        <v>0</v>
      </c>
    </row>
    <row r="32" spans="1:48" x14ac:dyDescent="0.45">
      <c r="A32" s="207"/>
      <c r="B32" s="254"/>
      <c r="C32" s="9"/>
      <c r="D32" s="10"/>
      <c r="E32" s="10"/>
      <c r="F32" s="10"/>
      <c r="G32" s="11"/>
      <c r="H32" s="12"/>
      <c r="I32" s="13"/>
      <c r="J32" s="14"/>
      <c r="K32" s="11"/>
      <c r="L32" s="12"/>
      <c r="M32" s="15"/>
      <c r="N32" s="16"/>
      <c r="O32" s="17"/>
      <c r="P32" s="15"/>
      <c r="Q32" s="16"/>
      <c r="R32" s="17"/>
      <c r="S32" s="15"/>
      <c r="T32" s="16"/>
      <c r="U32" s="17"/>
      <c r="V32" s="15"/>
      <c r="W32" s="16"/>
      <c r="X32" s="17"/>
      <c r="Y32" s="15"/>
      <c r="Z32" s="16"/>
      <c r="AA32" s="18"/>
      <c r="AB32" s="19"/>
      <c r="AC32" s="250"/>
      <c r="AI32">
        <f>_xlfn.IFNA(MATCH(Legends!$B$5, L32:AA32,0), 999)</f>
        <v>999</v>
      </c>
      <c r="AJ32">
        <f>_xlfn.IFNA(MATCH(Legends!$B$8, L32:AA32,0), 999)</f>
        <v>999</v>
      </c>
      <c r="AK32">
        <f>_xlfn.IFNA(MATCH(Legends!$B$9, L32:AA32,0), 999)</f>
        <v>999</v>
      </c>
      <c r="AL32">
        <f>_xlfn.IFNA(MATCH(Legends!$B$6, L32:AA32,0),999)</f>
        <v>999</v>
      </c>
      <c r="AM32">
        <f>_xlfn.IFNA(MATCH(Legends!$B$7, 'Advisor View'!L32:AA32, 0), 999)</f>
        <v>999</v>
      </c>
      <c r="AN32">
        <f t="shared" si="11"/>
        <v>999</v>
      </c>
      <c r="AO32">
        <f t="shared" si="10"/>
        <v>0</v>
      </c>
      <c r="AP32">
        <f t="shared" si="2"/>
        <v>0</v>
      </c>
      <c r="AQ32">
        <f t="shared" si="3"/>
        <v>0</v>
      </c>
      <c r="AR32">
        <f t="shared" si="4"/>
        <v>0</v>
      </c>
      <c r="AS32">
        <f t="shared" si="5"/>
        <v>0</v>
      </c>
      <c r="AT32">
        <f t="shared" si="6"/>
        <v>0</v>
      </c>
      <c r="AU32">
        <f t="shared" si="7"/>
        <v>0</v>
      </c>
      <c r="AV32">
        <f t="shared" si="8"/>
        <v>0</v>
      </c>
    </row>
    <row r="33" spans="1:48" x14ac:dyDescent="0.45">
      <c r="A33" s="207"/>
      <c r="B33" s="254"/>
      <c r="C33" s="20"/>
      <c r="D33" s="21"/>
      <c r="E33" s="21"/>
      <c r="F33" s="21"/>
      <c r="G33" s="22"/>
      <c r="H33" s="23"/>
      <c r="I33" s="24"/>
      <c r="J33" s="25"/>
      <c r="K33" s="22" t="s">
        <v>4</v>
      </c>
      <c r="L33" s="26"/>
      <c r="M33" s="27"/>
      <c r="N33" s="28"/>
      <c r="O33" s="29"/>
      <c r="P33" s="27"/>
      <c r="Q33" s="28"/>
      <c r="R33" s="29"/>
      <c r="S33" s="27"/>
      <c r="T33" s="28"/>
      <c r="U33" s="29"/>
      <c r="V33" s="27"/>
      <c r="W33" s="28"/>
      <c r="X33" s="29"/>
      <c r="Y33" s="27"/>
      <c r="Z33" s="28"/>
      <c r="AA33" s="30"/>
      <c r="AB33" s="31"/>
      <c r="AC33" s="250"/>
      <c r="AI33">
        <f>_xlfn.IFNA(MATCH(Legends!$B$5, L33:AA33,0), 999)</f>
        <v>999</v>
      </c>
      <c r="AJ33">
        <f>_xlfn.IFNA(MATCH(Legends!$B$8, L33:AA33,0), 999)</f>
        <v>999</v>
      </c>
      <c r="AK33">
        <f>_xlfn.IFNA(MATCH(Legends!$B$9, L33:AA33,0), 999)</f>
        <v>999</v>
      </c>
      <c r="AL33">
        <f>_xlfn.IFNA(MATCH(Legends!$B$6, L33:AA33,0),999)</f>
        <v>999</v>
      </c>
      <c r="AM33">
        <f>_xlfn.IFNA(MATCH(Legends!$B$7, 'Advisor View'!L33:AA33, 0), 999)</f>
        <v>999</v>
      </c>
      <c r="AN33">
        <f t="shared" si="11"/>
        <v>999</v>
      </c>
      <c r="AO33">
        <f t="shared" si="10"/>
        <v>0</v>
      </c>
      <c r="AP33">
        <f t="shared" si="2"/>
        <v>0</v>
      </c>
      <c r="AQ33">
        <f t="shared" si="3"/>
        <v>0</v>
      </c>
      <c r="AR33">
        <f t="shared" si="4"/>
        <v>0</v>
      </c>
      <c r="AS33">
        <f t="shared" si="5"/>
        <v>0</v>
      </c>
      <c r="AT33">
        <f t="shared" si="6"/>
        <v>0</v>
      </c>
      <c r="AU33">
        <f t="shared" si="7"/>
        <v>0</v>
      </c>
      <c r="AV33">
        <f t="shared" si="8"/>
        <v>0</v>
      </c>
    </row>
    <row r="34" spans="1:48" x14ac:dyDescent="0.45">
      <c r="A34" s="207"/>
      <c r="B34" s="254"/>
      <c r="C34" s="9"/>
      <c r="D34" s="10"/>
      <c r="E34" s="10"/>
      <c r="F34" s="10"/>
      <c r="G34" s="11"/>
      <c r="H34" s="12"/>
      <c r="I34" s="13"/>
      <c r="J34" s="14"/>
      <c r="K34" s="11"/>
      <c r="L34" s="12"/>
      <c r="M34" s="15"/>
      <c r="N34" s="16"/>
      <c r="O34" s="17"/>
      <c r="P34" s="15"/>
      <c r="Q34" s="16"/>
      <c r="R34" s="17"/>
      <c r="S34" s="15"/>
      <c r="T34" s="16"/>
      <c r="U34" s="17"/>
      <c r="V34" s="15"/>
      <c r="W34" s="16"/>
      <c r="X34" s="17"/>
      <c r="Y34" s="15"/>
      <c r="Z34" s="16"/>
      <c r="AA34" s="18"/>
      <c r="AB34" s="19"/>
      <c r="AC34" s="250"/>
      <c r="AI34">
        <f>_xlfn.IFNA(MATCH(Legends!$B$5, L34:AA34,0), 999)</f>
        <v>999</v>
      </c>
      <c r="AJ34">
        <f>_xlfn.IFNA(MATCH(Legends!$B$8, L34:AA34,0), 999)</f>
        <v>999</v>
      </c>
      <c r="AK34">
        <f>_xlfn.IFNA(MATCH(Legends!$B$9, L34:AA34,0), 999)</f>
        <v>999</v>
      </c>
      <c r="AL34">
        <f>_xlfn.IFNA(MATCH(Legends!$B$6, L34:AA34,0),999)</f>
        <v>999</v>
      </c>
      <c r="AM34">
        <f>_xlfn.IFNA(MATCH(Legends!$B$7, 'Advisor View'!L34:AA34, 0), 999)</f>
        <v>999</v>
      </c>
      <c r="AN34">
        <f t="shared" si="11"/>
        <v>999</v>
      </c>
      <c r="AO34">
        <f t="shared" si="10"/>
        <v>0</v>
      </c>
      <c r="AP34">
        <f t="shared" si="2"/>
        <v>0</v>
      </c>
      <c r="AQ34">
        <f t="shared" si="3"/>
        <v>0</v>
      </c>
      <c r="AR34">
        <f t="shared" si="4"/>
        <v>0</v>
      </c>
      <c r="AS34">
        <f t="shared" si="5"/>
        <v>0</v>
      </c>
      <c r="AT34">
        <f t="shared" si="6"/>
        <v>0</v>
      </c>
      <c r="AU34">
        <f t="shared" si="7"/>
        <v>0</v>
      </c>
      <c r="AV34">
        <f t="shared" si="8"/>
        <v>0</v>
      </c>
    </row>
    <row r="35" spans="1:48" x14ac:dyDescent="0.45">
      <c r="A35" s="207"/>
      <c r="B35" s="254"/>
      <c r="C35" s="20"/>
      <c r="D35" s="21"/>
      <c r="E35" s="21"/>
      <c r="F35" s="21"/>
      <c r="G35" s="22"/>
      <c r="H35" s="23"/>
      <c r="I35" s="24"/>
      <c r="J35" s="25"/>
      <c r="K35" s="22"/>
      <c r="L35" s="23"/>
      <c r="M35" s="27"/>
      <c r="N35" s="28"/>
      <c r="O35" s="29"/>
      <c r="P35" s="27"/>
      <c r="Q35" s="28"/>
      <c r="R35" s="29"/>
      <c r="S35" s="27"/>
      <c r="T35" s="28"/>
      <c r="U35" s="29"/>
      <c r="V35" s="27"/>
      <c r="W35" s="28"/>
      <c r="X35" s="29"/>
      <c r="Y35" s="27"/>
      <c r="Z35" s="28"/>
      <c r="AA35" s="30"/>
      <c r="AB35" s="31"/>
      <c r="AC35" s="250"/>
      <c r="AI35">
        <f>_xlfn.IFNA(MATCH(Legends!$B$5, L35:AA35,0), 999)</f>
        <v>999</v>
      </c>
      <c r="AJ35">
        <f>_xlfn.IFNA(MATCH(Legends!$B$8, L35:AA35,0), 999)</f>
        <v>999</v>
      </c>
      <c r="AK35">
        <f>_xlfn.IFNA(MATCH(Legends!$B$9, L35:AA35,0), 999)</f>
        <v>999</v>
      </c>
      <c r="AL35">
        <f>_xlfn.IFNA(MATCH(Legends!$B$6, L35:AA35,0),999)</f>
        <v>999</v>
      </c>
      <c r="AM35">
        <f>_xlfn.IFNA(MATCH(Legends!$B$7, 'Advisor View'!L35:AA35, 0), 999)</f>
        <v>999</v>
      </c>
      <c r="AN35">
        <f t="shared" si="11"/>
        <v>999</v>
      </c>
      <c r="AO35">
        <f t="shared" si="10"/>
        <v>0</v>
      </c>
      <c r="AP35">
        <f t="shared" si="2"/>
        <v>0</v>
      </c>
      <c r="AQ35">
        <f t="shared" si="3"/>
        <v>0</v>
      </c>
      <c r="AR35">
        <f t="shared" si="4"/>
        <v>0</v>
      </c>
      <c r="AS35">
        <f t="shared" si="5"/>
        <v>0</v>
      </c>
      <c r="AT35">
        <f t="shared" si="6"/>
        <v>0</v>
      </c>
      <c r="AU35">
        <f t="shared" si="7"/>
        <v>0</v>
      </c>
      <c r="AV35">
        <f t="shared" si="8"/>
        <v>0</v>
      </c>
    </row>
    <row r="36" spans="1:48" x14ac:dyDescent="0.45">
      <c r="A36" s="207"/>
      <c r="B36" s="254"/>
      <c r="C36" s="9"/>
      <c r="D36" s="10"/>
      <c r="E36" s="10"/>
      <c r="F36" s="10"/>
      <c r="G36" s="11"/>
      <c r="H36" s="12"/>
      <c r="I36" s="13"/>
      <c r="J36" s="14"/>
      <c r="K36" s="11"/>
      <c r="L36" s="12"/>
      <c r="M36" s="15"/>
      <c r="N36" s="16"/>
      <c r="O36" s="17"/>
      <c r="P36" s="15"/>
      <c r="Q36" s="16"/>
      <c r="R36" s="17"/>
      <c r="S36" s="15"/>
      <c r="T36" s="16"/>
      <c r="U36" s="17"/>
      <c r="V36" s="15"/>
      <c r="W36" s="16"/>
      <c r="X36" s="17"/>
      <c r="Y36" s="15"/>
      <c r="Z36" s="16"/>
      <c r="AA36" s="18"/>
      <c r="AB36" s="19"/>
      <c r="AC36" s="250"/>
      <c r="AI36">
        <f>_xlfn.IFNA(MATCH(Legends!$B$5, L36:AA36,0), 999)</f>
        <v>999</v>
      </c>
      <c r="AJ36">
        <f>_xlfn.IFNA(MATCH(Legends!$B$8, L36:AA36,0), 999)</f>
        <v>999</v>
      </c>
      <c r="AK36">
        <f>_xlfn.IFNA(MATCH(Legends!$B$9, L36:AA36,0), 999)</f>
        <v>999</v>
      </c>
      <c r="AL36">
        <f>_xlfn.IFNA(MATCH(Legends!$B$6, L36:AA36,0),999)</f>
        <v>999</v>
      </c>
      <c r="AM36">
        <f>_xlfn.IFNA(MATCH(Legends!$B$7, 'Advisor View'!L36:AA36, 0), 999)</f>
        <v>999</v>
      </c>
      <c r="AN36">
        <f t="shared" si="11"/>
        <v>999</v>
      </c>
      <c r="AO36">
        <f t="shared" si="10"/>
        <v>0</v>
      </c>
      <c r="AP36">
        <f t="shared" si="2"/>
        <v>0</v>
      </c>
      <c r="AQ36">
        <f t="shared" si="3"/>
        <v>0</v>
      </c>
      <c r="AR36">
        <f t="shared" si="4"/>
        <v>0</v>
      </c>
      <c r="AS36">
        <f t="shared" si="5"/>
        <v>0</v>
      </c>
      <c r="AT36">
        <f t="shared" si="6"/>
        <v>0</v>
      </c>
      <c r="AU36">
        <f t="shared" si="7"/>
        <v>0</v>
      </c>
      <c r="AV36">
        <f t="shared" si="8"/>
        <v>0</v>
      </c>
    </row>
    <row r="37" spans="1:48" x14ac:dyDescent="0.45">
      <c r="A37" s="207"/>
      <c r="B37" s="254"/>
      <c r="C37" s="20"/>
      <c r="D37" s="21"/>
      <c r="E37" s="21"/>
      <c r="F37" s="21"/>
      <c r="G37" s="22"/>
      <c r="H37" s="23"/>
      <c r="I37" s="24"/>
      <c r="J37" s="25"/>
      <c r="K37" s="22"/>
      <c r="L37" s="26"/>
      <c r="M37" s="27"/>
      <c r="N37" s="28"/>
      <c r="O37" s="29"/>
      <c r="P37" s="27"/>
      <c r="Q37" s="28"/>
      <c r="R37" s="29"/>
      <c r="S37" s="27"/>
      <c r="T37" s="28"/>
      <c r="U37" s="29"/>
      <c r="V37" s="27"/>
      <c r="W37" s="28"/>
      <c r="X37" s="29"/>
      <c r="Y37" s="27"/>
      <c r="Z37" s="28"/>
      <c r="AA37" s="30"/>
      <c r="AB37" s="31"/>
      <c r="AC37" s="250"/>
      <c r="AI37">
        <f>_xlfn.IFNA(MATCH(Legends!$B$5, L37:AA37,0), 999)</f>
        <v>999</v>
      </c>
      <c r="AJ37">
        <f>_xlfn.IFNA(MATCH(Legends!$B$8, L37:AA37,0), 999)</f>
        <v>999</v>
      </c>
      <c r="AK37">
        <f>_xlfn.IFNA(MATCH(Legends!$B$9, L37:AA37,0), 999)</f>
        <v>999</v>
      </c>
      <c r="AL37">
        <f>_xlfn.IFNA(MATCH(Legends!$B$6, L37:AA37,0),999)</f>
        <v>999</v>
      </c>
      <c r="AM37">
        <f>_xlfn.IFNA(MATCH(Legends!$B$7, 'Advisor View'!L37:AA37, 0), 999)</f>
        <v>999</v>
      </c>
      <c r="AN37">
        <f t="shared" si="11"/>
        <v>999</v>
      </c>
      <c r="AO37">
        <f t="shared" si="10"/>
        <v>0</v>
      </c>
      <c r="AP37">
        <f t="shared" si="2"/>
        <v>0</v>
      </c>
      <c r="AQ37">
        <f t="shared" si="3"/>
        <v>0</v>
      </c>
      <c r="AR37">
        <f t="shared" si="4"/>
        <v>0</v>
      </c>
      <c r="AS37">
        <f t="shared" si="5"/>
        <v>0</v>
      </c>
      <c r="AT37">
        <f t="shared" si="6"/>
        <v>0</v>
      </c>
      <c r="AU37">
        <f t="shared" si="7"/>
        <v>0</v>
      </c>
      <c r="AV37">
        <f t="shared" si="8"/>
        <v>0</v>
      </c>
    </row>
    <row r="38" spans="1:48" x14ac:dyDescent="0.45">
      <c r="A38" s="207"/>
      <c r="B38" s="254"/>
      <c r="C38" s="9"/>
      <c r="D38" s="10"/>
      <c r="E38" s="10"/>
      <c r="F38" s="10"/>
      <c r="G38" s="11"/>
      <c r="H38" s="12"/>
      <c r="I38" s="13"/>
      <c r="J38" s="14"/>
      <c r="K38" s="11"/>
      <c r="L38" s="12"/>
      <c r="M38" s="15"/>
      <c r="N38" s="16"/>
      <c r="O38" s="17"/>
      <c r="P38" s="15"/>
      <c r="Q38" s="16"/>
      <c r="R38" s="17"/>
      <c r="S38" s="15"/>
      <c r="T38" s="16"/>
      <c r="U38" s="17"/>
      <c r="V38" s="15"/>
      <c r="W38" s="16"/>
      <c r="X38" s="17"/>
      <c r="Y38" s="15"/>
      <c r="Z38" s="16"/>
      <c r="AA38" s="18"/>
      <c r="AB38" s="19"/>
      <c r="AC38" s="4" t="s">
        <v>29</v>
      </c>
      <c r="AI38">
        <f>_xlfn.IFNA(MATCH(Legends!$B$5, L38:AA38,0), 999)</f>
        <v>999</v>
      </c>
      <c r="AJ38">
        <f>_xlfn.IFNA(MATCH(Legends!$B$8, L38:AA38,0), 999)</f>
        <v>999</v>
      </c>
      <c r="AK38">
        <f>_xlfn.IFNA(MATCH(Legends!$B$9, L38:AA38,0), 999)</f>
        <v>999</v>
      </c>
      <c r="AL38">
        <f>_xlfn.IFNA(MATCH(Legends!$B$6, L38:AA38,0),999)</f>
        <v>999</v>
      </c>
      <c r="AM38">
        <f>_xlfn.IFNA(MATCH(Legends!$B$7, 'Advisor View'!L38:AA38, 0), 999)</f>
        <v>999</v>
      </c>
      <c r="AN38">
        <f t="shared" si="11"/>
        <v>999</v>
      </c>
      <c r="AO38">
        <f t="shared" si="10"/>
        <v>0</v>
      </c>
      <c r="AP38">
        <f t="shared" si="2"/>
        <v>0</v>
      </c>
      <c r="AQ38">
        <f t="shared" si="3"/>
        <v>0</v>
      </c>
      <c r="AR38">
        <f t="shared" si="4"/>
        <v>0</v>
      </c>
      <c r="AS38">
        <f t="shared" si="5"/>
        <v>0</v>
      </c>
      <c r="AT38">
        <f t="shared" si="6"/>
        <v>0</v>
      </c>
      <c r="AU38">
        <f t="shared" si="7"/>
        <v>0</v>
      </c>
      <c r="AV38">
        <f t="shared" si="8"/>
        <v>0</v>
      </c>
    </row>
    <row r="39" spans="1:48" x14ac:dyDescent="0.45">
      <c r="A39" s="207"/>
      <c r="B39" s="254"/>
      <c r="C39" s="20"/>
      <c r="D39" s="21"/>
      <c r="E39" s="21"/>
      <c r="F39" s="21"/>
      <c r="G39" s="22"/>
      <c r="H39" s="23"/>
      <c r="I39" s="24"/>
      <c r="J39" s="25"/>
      <c r="K39" s="22"/>
      <c r="L39" s="26"/>
      <c r="M39" s="27"/>
      <c r="N39" s="28"/>
      <c r="O39" s="29"/>
      <c r="P39" s="27"/>
      <c r="Q39" s="28"/>
      <c r="R39" s="29"/>
      <c r="S39" s="27"/>
      <c r="T39" s="28"/>
      <c r="U39" s="29"/>
      <c r="V39" s="27"/>
      <c r="W39" s="28"/>
      <c r="X39" s="29"/>
      <c r="Y39" s="27"/>
      <c r="Z39" s="28"/>
      <c r="AA39" s="30"/>
      <c r="AB39" s="31"/>
      <c r="AC39" s="250">
        <f>SUM(G20:G40)</f>
        <v>12</v>
      </c>
      <c r="AI39">
        <f>_xlfn.IFNA(MATCH(Legends!$B$5, L39:AA39,0), 999)</f>
        <v>999</v>
      </c>
      <c r="AJ39">
        <f>_xlfn.IFNA(MATCH(Legends!$B$8, L39:AA39,0), 999)</f>
        <v>999</v>
      </c>
      <c r="AK39">
        <f>_xlfn.IFNA(MATCH(Legends!$B$9, L39:AA39,0), 999)</f>
        <v>999</v>
      </c>
      <c r="AL39">
        <f>_xlfn.IFNA(MATCH(Legends!$B$6, L39:AA39,0),999)</f>
        <v>999</v>
      </c>
      <c r="AM39">
        <f>_xlfn.IFNA(MATCH(Legends!$B$7, 'Advisor View'!L39:AA39, 0), 999)</f>
        <v>999</v>
      </c>
      <c r="AN39">
        <f t="shared" si="11"/>
        <v>999</v>
      </c>
      <c r="AO39">
        <f t="shared" si="10"/>
        <v>0</v>
      </c>
      <c r="AP39">
        <f t="shared" si="2"/>
        <v>0</v>
      </c>
      <c r="AQ39">
        <f t="shared" si="3"/>
        <v>0</v>
      </c>
      <c r="AR39">
        <f t="shared" si="4"/>
        <v>0</v>
      </c>
      <c r="AS39">
        <f t="shared" si="5"/>
        <v>0</v>
      </c>
      <c r="AT39">
        <f t="shared" si="6"/>
        <v>0</v>
      </c>
      <c r="AU39">
        <f t="shared" si="7"/>
        <v>0</v>
      </c>
      <c r="AV39">
        <f t="shared" si="8"/>
        <v>0</v>
      </c>
    </row>
    <row r="40" spans="1:48" ht="14.65" thickBot="1" x14ac:dyDescent="0.5">
      <c r="A40" s="207"/>
      <c r="B40" s="254"/>
      <c r="C40" s="9"/>
      <c r="D40" s="10"/>
      <c r="E40" s="10"/>
      <c r="F40" s="10"/>
      <c r="G40" s="11"/>
      <c r="H40" s="12"/>
      <c r="I40" s="13"/>
      <c r="J40" s="14"/>
      <c r="K40" s="11"/>
      <c r="L40" s="12"/>
      <c r="M40" s="15"/>
      <c r="N40" s="16"/>
      <c r="O40" s="17"/>
      <c r="P40" s="15"/>
      <c r="Q40" s="16"/>
      <c r="R40" s="17"/>
      <c r="S40" s="15"/>
      <c r="T40" s="16"/>
      <c r="U40" s="17"/>
      <c r="V40" s="15"/>
      <c r="W40" s="16"/>
      <c r="X40" s="17"/>
      <c r="Y40" s="15"/>
      <c r="Z40" s="16"/>
      <c r="AA40" s="18"/>
      <c r="AB40" s="19"/>
      <c r="AC40" s="250"/>
      <c r="AI40">
        <f>_xlfn.IFNA(MATCH(Legends!$B$5, L40:AA40,0), 999)</f>
        <v>999</v>
      </c>
      <c r="AJ40">
        <f>_xlfn.IFNA(MATCH(Legends!$B$8, L40:AA40,0), 999)</f>
        <v>999</v>
      </c>
      <c r="AK40">
        <f>_xlfn.IFNA(MATCH(Legends!$B$9, L40:AA40,0), 999)</f>
        <v>999</v>
      </c>
      <c r="AL40">
        <f>_xlfn.IFNA(MATCH(Legends!$B$6, L40:AA40,0),999)</f>
        <v>999</v>
      </c>
      <c r="AM40">
        <f>_xlfn.IFNA(MATCH(Legends!$B$7, 'Advisor View'!L40:AA40, 0), 999)</f>
        <v>999</v>
      </c>
      <c r="AN40">
        <f t="shared" si="11"/>
        <v>999</v>
      </c>
      <c r="AO40">
        <f t="shared" si="10"/>
        <v>0</v>
      </c>
      <c r="AP40">
        <f t="shared" si="2"/>
        <v>0</v>
      </c>
      <c r="AQ40">
        <f t="shared" si="3"/>
        <v>0</v>
      </c>
      <c r="AR40">
        <f t="shared" si="4"/>
        <v>0</v>
      </c>
      <c r="AS40">
        <f t="shared" si="5"/>
        <v>0</v>
      </c>
      <c r="AT40">
        <f t="shared" si="6"/>
        <v>0</v>
      </c>
      <c r="AU40">
        <f t="shared" si="7"/>
        <v>0</v>
      </c>
      <c r="AV40">
        <f t="shared" si="8"/>
        <v>0</v>
      </c>
    </row>
    <row r="41" spans="1:48" ht="15" customHeight="1" x14ac:dyDescent="0.45">
      <c r="A41" s="207"/>
      <c r="B41" s="209"/>
      <c r="C41" s="218" t="s">
        <v>0</v>
      </c>
      <c r="D41" s="215" t="s">
        <v>172</v>
      </c>
      <c r="E41" s="216"/>
      <c r="F41" s="216"/>
      <c r="G41" s="217"/>
      <c r="H41" s="211" t="s">
        <v>7</v>
      </c>
      <c r="I41" s="211"/>
      <c r="J41" s="211" t="s">
        <v>8</v>
      </c>
      <c r="K41" s="211"/>
      <c r="L41" s="212" t="s">
        <v>22</v>
      </c>
      <c r="M41" s="211" t="str">
        <f>CONCATENATE(('Student Profile'!$C$8+0), " - ", ('Student Profile'!$C$8+1))</f>
        <v>2025 - 2026</v>
      </c>
      <c r="N41" s="211"/>
      <c r="O41" s="211"/>
      <c r="P41" s="211" t="str">
        <f>CONCATENATE(('Student Profile'!$C$8+1), " - ", ('Student Profile'!$C$8+2))</f>
        <v>2026 - 2027</v>
      </c>
      <c r="Q41" s="211"/>
      <c r="R41" s="211"/>
      <c r="S41" s="211" t="str">
        <f>CONCATENATE(('Student Profile'!$C$8+2), " - ", ('Student Profile'!$C$8+3))</f>
        <v>2027 - 2028</v>
      </c>
      <c r="T41" s="211"/>
      <c r="U41" s="211"/>
      <c r="V41" s="211" t="str">
        <f>CONCATENATE(('Student Profile'!$C$8+3), " - ", ('Student Profile'!$C$8+4))</f>
        <v>2028 - 2029</v>
      </c>
      <c r="W41" s="211"/>
      <c r="X41" s="211"/>
      <c r="Y41" s="211" t="str">
        <f>CONCATENATE(('Student Profile'!$C$8+4), " - ", ('Student Profile'!$C$8+5))</f>
        <v>2029 - 2030</v>
      </c>
      <c r="Z41" s="211"/>
      <c r="AA41" s="211"/>
      <c r="AB41" s="252" t="s">
        <v>21</v>
      </c>
      <c r="AC41" s="248" t="s">
        <v>28</v>
      </c>
      <c r="AI41" s="98">
        <v>999</v>
      </c>
      <c r="AJ41" s="98">
        <v>999</v>
      </c>
      <c r="AK41" s="98">
        <v>999</v>
      </c>
      <c r="AL41" s="98">
        <v>999</v>
      </c>
      <c r="AM41" s="98">
        <v>999</v>
      </c>
    </row>
    <row r="42" spans="1:48" ht="14.65" thickBot="1" x14ac:dyDescent="0.5">
      <c r="A42" s="207"/>
      <c r="B42" s="210"/>
      <c r="C42" s="219"/>
      <c r="D42" s="132" t="s">
        <v>1</v>
      </c>
      <c r="E42" s="132" t="s">
        <v>9</v>
      </c>
      <c r="F42" s="132" t="s">
        <v>10</v>
      </c>
      <c r="G42" s="124" t="s">
        <v>2</v>
      </c>
      <c r="H42" s="124">
        <v>1</v>
      </c>
      <c r="I42" s="124">
        <v>2</v>
      </c>
      <c r="J42" s="124">
        <v>1</v>
      </c>
      <c r="K42" s="124">
        <v>2</v>
      </c>
      <c r="L42" s="213"/>
      <c r="M42" s="124" t="s">
        <v>9</v>
      </c>
      <c r="N42" s="124" t="s">
        <v>10</v>
      </c>
      <c r="O42" s="133" t="s">
        <v>11</v>
      </c>
      <c r="P42" s="124" t="s">
        <v>9</v>
      </c>
      <c r="Q42" s="124" t="s">
        <v>10</v>
      </c>
      <c r="R42" s="133" t="s">
        <v>11</v>
      </c>
      <c r="S42" s="124" t="s">
        <v>9</v>
      </c>
      <c r="T42" s="124" t="s">
        <v>10</v>
      </c>
      <c r="U42" s="133" t="s">
        <v>11</v>
      </c>
      <c r="V42" s="124" t="s">
        <v>9</v>
      </c>
      <c r="W42" s="124" t="s">
        <v>10</v>
      </c>
      <c r="X42" s="133" t="s">
        <v>11</v>
      </c>
      <c r="Y42" s="124" t="s">
        <v>9</v>
      </c>
      <c r="Z42" s="124" t="s">
        <v>10</v>
      </c>
      <c r="AA42" s="133" t="s">
        <v>11</v>
      </c>
      <c r="AB42" s="253"/>
      <c r="AC42" s="249"/>
      <c r="AI42" s="98">
        <v>999</v>
      </c>
      <c r="AJ42" s="98">
        <v>999</v>
      </c>
      <c r="AK42" s="98">
        <v>999</v>
      </c>
      <c r="AL42" s="98">
        <v>999</v>
      </c>
      <c r="AM42" s="98">
        <v>999</v>
      </c>
    </row>
    <row r="43" spans="1:48" ht="15" customHeight="1" x14ac:dyDescent="0.45">
      <c r="A43" s="207"/>
      <c r="B43" s="254" t="s">
        <v>5</v>
      </c>
      <c r="C43" s="9" t="s">
        <v>143</v>
      </c>
      <c r="D43" s="10" t="s">
        <v>114</v>
      </c>
      <c r="E43" s="10"/>
      <c r="F43" s="10" t="s">
        <v>10</v>
      </c>
      <c r="G43" s="11">
        <v>3</v>
      </c>
      <c r="H43" s="12" t="s">
        <v>142</v>
      </c>
      <c r="I43" s="13"/>
      <c r="J43" s="14"/>
      <c r="K43" s="11"/>
      <c r="L43" s="12"/>
      <c r="M43" s="15"/>
      <c r="N43" s="32" t="s">
        <v>11</v>
      </c>
      <c r="O43" s="17"/>
      <c r="P43" s="15"/>
      <c r="Q43" s="32"/>
      <c r="R43" s="17"/>
      <c r="S43" s="15"/>
      <c r="T43" s="32"/>
      <c r="U43" s="17"/>
      <c r="V43" s="15"/>
      <c r="W43" s="32"/>
      <c r="X43" s="17"/>
      <c r="Y43" s="15"/>
      <c r="Z43" s="32"/>
      <c r="AA43" s="18"/>
      <c r="AB43" s="19"/>
      <c r="AC43" s="250">
        <f>SUM(AO43:AO63)</f>
        <v>12</v>
      </c>
      <c r="AI43">
        <f>_xlfn.IFNA(MATCH(Legends!$B$5, L43:AA43,0), 999)</f>
        <v>999</v>
      </c>
      <c r="AJ43">
        <f>_xlfn.IFNA(MATCH(Legends!$B$8, L43:AA43,0), 999)</f>
        <v>999</v>
      </c>
      <c r="AK43">
        <f>_xlfn.IFNA(MATCH(Legends!$B$9, L43:AA43,0), 999)</f>
        <v>999</v>
      </c>
      <c r="AL43">
        <f>_xlfn.IFNA(MATCH(Legends!$B$6, L43:AA43,0),999)</f>
        <v>999</v>
      </c>
      <c r="AM43">
        <f>_xlfn.IFNA(MATCH(Legends!$B$7, 'Advisor View'!L43:AA43, 0), 999)</f>
        <v>3</v>
      </c>
      <c r="AN43">
        <f t="shared" si="1"/>
        <v>3</v>
      </c>
      <c r="AO43">
        <f t="shared" ref="AO43:AO63" si="12">IF(AN43&lt;999,G43,0)</f>
        <v>3</v>
      </c>
      <c r="AP43">
        <f t="shared" si="2"/>
        <v>0</v>
      </c>
      <c r="AQ43">
        <f t="shared" si="3"/>
        <v>0</v>
      </c>
      <c r="AR43">
        <f t="shared" si="4"/>
        <v>1</v>
      </c>
      <c r="AS43">
        <f t="shared" si="5"/>
        <v>0</v>
      </c>
      <c r="AT43">
        <f t="shared" si="6"/>
        <v>0</v>
      </c>
      <c r="AU43">
        <f t="shared" si="7"/>
        <v>1</v>
      </c>
      <c r="AV43">
        <f t="shared" si="8"/>
        <v>0</v>
      </c>
    </row>
    <row r="44" spans="1:48" x14ac:dyDescent="0.45">
      <c r="A44" s="207"/>
      <c r="B44" s="254"/>
      <c r="C44" s="20" t="s">
        <v>144</v>
      </c>
      <c r="D44" s="21" t="s">
        <v>115</v>
      </c>
      <c r="E44" s="21" t="s">
        <v>9</v>
      </c>
      <c r="F44" s="21"/>
      <c r="G44" s="22">
        <v>3</v>
      </c>
      <c r="H44" s="23" t="s">
        <v>142</v>
      </c>
      <c r="I44" s="24"/>
      <c r="J44" s="25"/>
      <c r="K44" s="22"/>
      <c r="L44" s="23"/>
      <c r="M44" s="27"/>
      <c r="N44" s="33"/>
      <c r="O44" s="29"/>
      <c r="P44" s="27" t="s">
        <v>11</v>
      </c>
      <c r="Q44" s="33"/>
      <c r="R44" s="29"/>
      <c r="S44" s="27"/>
      <c r="T44" s="33"/>
      <c r="U44" s="29"/>
      <c r="V44" s="27"/>
      <c r="W44" s="33"/>
      <c r="X44" s="29"/>
      <c r="Y44" s="27"/>
      <c r="Z44" s="33"/>
      <c r="AA44" s="30"/>
      <c r="AB44" s="31"/>
      <c r="AC44" s="250"/>
      <c r="AI44">
        <f>_xlfn.IFNA(MATCH(Legends!$B$5, L44:AA44,0), 999)</f>
        <v>999</v>
      </c>
      <c r="AJ44">
        <f>_xlfn.IFNA(MATCH(Legends!$B$8, L44:AA44,0), 999)</f>
        <v>999</v>
      </c>
      <c r="AK44">
        <f>_xlfn.IFNA(MATCH(Legends!$B$9, L44:AA44,0), 999)</f>
        <v>999</v>
      </c>
      <c r="AL44">
        <f>_xlfn.IFNA(MATCH(Legends!$B$6, L44:AA44,0),999)</f>
        <v>999</v>
      </c>
      <c r="AM44">
        <f>_xlfn.IFNA(MATCH(Legends!$B$7, 'Advisor View'!L44:AA44, 0), 999)</f>
        <v>5</v>
      </c>
      <c r="AN44">
        <f t="shared" si="1"/>
        <v>5</v>
      </c>
      <c r="AO44">
        <f t="shared" si="12"/>
        <v>3</v>
      </c>
      <c r="AP44">
        <f t="shared" si="2"/>
        <v>0</v>
      </c>
      <c r="AQ44">
        <f t="shared" si="3"/>
        <v>0</v>
      </c>
      <c r="AR44">
        <f t="shared" si="4"/>
        <v>1</v>
      </c>
      <c r="AS44">
        <f t="shared" si="5"/>
        <v>0</v>
      </c>
      <c r="AT44">
        <f t="shared" si="6"/>
        <v>0</v>
      </c>
      <c r="AU44">
        <f t="shared" si="7"/>
        <v>1</v>
      </c>
      <c r="AV44">
        <f t="shared" si="8"/>
        <v>0</v>
      </c>
    </row>
    <row r="45" spans="1:48" x14ac:dyDescent="0.45">
      <c r="A45" s="207"/>
      <c r="B45" s="254"/>
      <c r="C45" s="9" t="s">
        <v>145</v>
      </c>
      <c r="D45" s="10" t="s">
        <v>116</v>
      </c>
      <c r="E45" s="10"/>
      <c r="F45" s="10" t="s">
        <v>10</v>
      </c>
      <c r="G45" s="11">
        <v>3</v>
      </c>
      <c r="H45" s="12" t="s">
        <v>142</v>
      </c>
      <c r="I45" s="13"/>
      <c r="J45" s="14"/>
      <c r="K45" s="11"/>
      <c r="L45" s="12"/>
      <c r="M45" s="15"/>
      <c r="N45" s="32" t="s">
        <v>11</v>
      </c>
      <c r="O45" s="17"/>
      <c r="P45" s="15"/>
      <c r="Q45" s="32"/>
      <c r="R45" s="17"/>
      <c r="S45" s="15"/>
      <c r="T45" s="32"/>
      <c r="U45" s="17"/>
      <c r="V45" s="15"/>
      <c r="W45" s="32"/>
      <c r="X45" s="17"/>
      <c r="Y45" s="15"/>
      <c r="Z45" s="32"/>
      <c r="AA45" s="18"/>
      <c r="AB45" s="19"/>
      <c r="AC45" s="250"/>
      <c r="AI45">
        <f>_xlfn.IFNA(MATCH(Legends!$B$5, L45:AA45,0), 999)</f>
        <v>999</v>
      </c>
      <c r="AJ45">
        <f>_xlfn.IFNA(MATCH(Legends!$B$8, L45:AA45,0), 999)</f>
        <v>999</v>
      </c>
      <c r="AK45">
        <f>_xlfn.IFNA(MATCH(Legends!$B$9, L45:AA45,0), 999)</f>
        <v>999</v>
      </c>
      <c r="AL45">
        <f>_xlfn.IFNA(MATCH(Legends!$B$6, L45:AA45,0),999)</f>
        <v>999</v>
      </c>
      <c r="AM45">
        <f>_xlfn.IFNA(MATCH(Legends!$B$7, 'Advisor View'!L45:AA45, 0), 999)</f>
        <v>3</v>
      </c>
      <c r="AN45">
        <f t="shared" si="1"/>
        <v>3</v>
      </c>
      <c r="AO45">
        <f t="shared" si="12"/>
        <v>3</v>
      </c>
      <c r="AP45">
        <f t="shared" si="2"/>
        <v>0</v>
      </c>
      <c r="AQ45">
        <f t="shared" si="3"/>
        <v>0</v>
      </c>
      <c r="AR45">
        <f t="shared" si="4"/>
        <v>1</v>
      </c>
      <c r="AS45">
        <f t="shared" si="5"/>
        <v>0</v>
      </c>
      <c r="AT45">
        <f t="shared" si="6"/>
        <v>0</v>
      </c>
      <c r="AU45">
        <f t="shared" si="7"/>
        <v>1</v>
      </c>
      <c r="AV45">
        <f t="shared" si="8"/>
        <v>0</v>
      </c>
    </row>
    <row r="46" spans="1:48" x14ac:dyDescent="0.45">
      <c r="A46" s="207"/>
      <c r="B46" s="254"/>
      <c r="C46" s="159" t="s">
        <v>156</v>
      </c>
      <c r="D46" s="160" t="s">
        <v>168</v>
      </c>
      <c r="E46" s="160"/>
      <c r="F46" s="160"/>
      <c r="G46" s="161">
        <v>3</v>
      </c>
      <c r="H46" s="23"/>
      <c r="I46" s="24"/>
      <c r="J46" s="25"/>
      <c r="K46" s="22"/>
      <c r="L46" s="23"/>
      <c r="M46" s="27"/>
      <c r="N46" s="33"/>
      <c r="O46" s="29"/>
      <c r="P46" s="27"/>
      <c r="Q46" s="33"/>
      <c r="R46" s="29"/>
      <c r="S46" s="27"/>
      <c r="T46" s="33"/>
      <c r="U46" s="29"/>
      <c r="V46" s="27"/>
      <c r="W46" s="33"/>
      <c r="X46" s="29"/>
      <c r="Y46" s="27"/>
      <c r="Z46" s="33"/>
      <c r="AA46" s="30"/>
      <c r="AB46" s="31"/>
      <c r="AC46" s="250"/>
      <c r="AI46">
        <f>_xlfn.IFNA(MATCH(Legends!$B$5, L46:AA46,0), 999)</f>
        <v>999</v>
      </c>
      <c r="AJ46">
        <f>_xlfn.IFNA(MATCH(Legends!$B$8, L46:AA46,0), 999)</f>
        <v>999</v>
      </c>
      <c r="AK46">
        <f>_xlfn.IFNA(MATCH(Legends!$B$9, L46:AA46,0), 999)</f>
        <v>999</v>
      </c>
      <c r="AL46">
        <f>_xlfn.IFNA(MATCH(Legends!$B$6, L46:AA46,0),999)</f>
        <v>999</v>
      </c>
      <c r="AM46">
        <f>_xlfn.IFNA(MATCH(Legends!$B$7, 'Advisor View'!L46:AA46, 0), 999)</f>
        <v>999</v>
      </c>
      <c r="AN46">
        <f t="shared" si="1"/>
        <v>999</v>
      </c>
      <c r="AO46">
        <f t="shared" si="12"/>
        <v>0</v>
      </c>
      <c r="AP46">
        <f t="shared" si="2"/>
        <v>0</v>
      </c>
      <c r="AQ46">
        <f t="shared" si="3"/>
        <v>0</v>
      </c>
      <c r="AR46">
        <f t="shared" si="4"/>
        <v>0</v>
      </c>
      <c r="AS46">
        <f t="shared" si="5"/>
        <v>0</v>
      </c>
      <c r="AT46">
        <f t="shared" si="6"/>
        <v>0</v>
      </c>
      <c r="AU46">
        <f t="shared" si="7"/>
        <v>0</v>
      </c>
      <c r="AV46">
        <f t="shared" si="8"/>
        <v>0</v>
      </c>
    </row>
    <row r="47" spans="1:48" x14ac:dyDescent="0.45">
      <c r="A47" s="207"/>
      <c r="B47" s="254"/>
      <c r="C47" s="9" t="s">
        <v>137</v>
      </c>
      <c r="D47" s="10" t="s">
        <v>120</v>
      </c>
      <c r="E47" s="10"/>
      <c r="F47" s="10" t="s">
        <v>10</v>
      </c>
      <c r="G47" s="11">
        <v>3</v>
      </c>
      <c r="H47" s="12" t="s">
        <v>135</v>
      </c>
      <c r="I47" s="13"/>
      <c r="J47" s="14"/>
      <c r="K47" s="11"/>
      <c r="L47" s="12"/>
      <c r="M47" s="15"/>
      <c r="N47" s="32" t="s">
        <v>11</v>
      </c>
      <c r="O47" s="17"/>
      <c r="P47" s="15"/>
      <c r="Q47" s="32"/>
      <c r="R47" s="17"/>
      <c r="S47" s="15"/>
      <c r="T47" s="32"/>
      <c r="U47" s="17"/>
      <c r="V47" s="15"/>
      <c r="W47" s="32"/>
      <c r="X47" s="17"/>
      <c r="Y47" s="15"/>
      <c r="Z47" s="32"/>
      <c r="AA47" s="18"/>
      <c r="AB47" s="19"/>
      <c r="AC47" s="250"/>
      <c r="AI47">
        <f>_xlfn.IFNA(MATCH(Legends!$B$5, L47:AA47,0), 999)</f>
        <v>999</v>
      </c>
      <c r="AJ47">
        <f>_xlfn.IFNA(MATCH(Legends!$B$8, L47:AA47,0), 999)</f>
        <v>999</v>
      </c>
      <c r="AK47">
        <f>_xlfn.IFNA(MATCH(Legends!$B$9, L47:AA47,0), 999)</f>
        <v>999</v>
      </c>
      <c r="AL47">
        <f>_xlfn.IFNA(MATCH(Legends!$B$6, L47:AA47,0),999)</f>
        <v>999</v>
      </c>
      <c r="AM47">
        <f>_xlfn.IFNA(MATCH(Legends!$B$7, 'Advisor View'!L47:AA47, 0), 999)</f>
        <v>3</v>
      </c>
      <c r="AN47">
        <f t="shared" si="1"/>
        <v>3</v>
      </c>
      <c r="AO47">
        <f t="shared" si="12"/>
        <v>3</v>
      </c>
      <c r="AP47">
        <f t="shared" si="2"/>
        <v>0</v>
      </c>
      <c r="AQ47">
        <f t="shared" si="3"/>
        <v>0</v>
      </c>
      <c r="AR47">
        <f t="shared" si="4"/>
        <v>1</v>
      </c>
      <c r="AS47">
        <f t="shared" si="5"/>
        <v>0</v>
      </c>
      <c r="AT47">
        <f t="shared" si="6"/>
        <v>0</v>
      </c>
      <c r="AU47">
        <f t="shared" si="7"/>
        <v>1</v>
      </c>
      <c r="AV47">
        <f t="shared" si="8"/>
        <v>0</v>
      </c>
    </row>
    <row r="48" spans="1:48" x14ac:dyDescent="0.45">
      <c r="A48" s="207"/>
      <c r="B48" s="254"/>
      <c r="C48" s="159" t="s">
        <v>157</v>
      </c>
      <c r="D48" s="160" t="s">
        <v>169</v>
      </c>
      <c r="E48" s="160"/>
      <c r="F48" s="160"/>
      <c r="G48" s="161">
        <v>3</v>
      </c>
      <c r="H48" s="23"/>
      <c r="I48" s="24"/>
      <c r="J48" s="25"/>
      <c r="K48" s="22"/>
      <c r="L48" s="23"/>
      <c r="M48" s="27"/>
      <c r="N48" s="33"/>
      <c r="O48" s="29"/>
      <c r="P48" s="27"/>
      <c r="Q48" s="33"/>
      <c r="R48" s="29"/>
      <c r="S48" s="27"/>
      <c r="T48" s="33"/>
      <c r="U48" s="29"/>
      <c r="V48" s="27"/>
      <c r="W48" s="33"/>
      <c r="X48" s="29"/>
      <c r="Y48" s="27"/>
      <c r="Z48" s="33"/>
      <c r="AA48" s="30"/>
      <c r="AB48" s="31"/>
      <c r="AC48" s="250"/>
      <c r="AI48">
        <f>_xlfn.IFNA(MATCH(Legends!$B$5, L48:AA48,0), 999)</f>
        <v>999</v>
      </c>
      <c r="AJ48">
        <f>_xlfn.IFNA(MATCH(Legends!$B$8, L48:AA48,0), 999)</f>
        <v>999</v>
      </c>
      <c r="AK48">
        <f>_xlfn.IFNA(MATCH(Legends!$B$9, L48:AA48,0), 999)</f>
        <v>999</v>
      </c>
      <c r="AL48">
        <f>_xlfn.IFNA(MATCH(Legends!$B$6, L48:AA48,0),999)</f>
        <v>999</v>
      </c>
      <c r="AM48">
        <f>_xlfn.IFNA(MATCH(Legends!$B$7, 'Advisor View'!L48:AA48, 0), 999)</f>
        <v>999</v>
      </c>
      <c r="AN48">
        <f t="shared" si="1"/>
        <v>999</v>
      </c>
      <c r="AO48">
        <f t="shared" si="12"/>
        <v>0</v>
      </c>
      <c r="AP48">
        <f t="shared" si="2"/>
        <v>0</v>
      </c>
      <c r="AQ48">
        <f t="shared" si="3"/>
        <v>0</v>
      </c>
      <c r="AR48">
        <f t="shared" si="4"/>
        <v>0</v>
      </c>
      <c r="AS48">
        <f t="shared" si="5"/>
        <v>0</v>
      </c>
      <c r="AT48">
        <f t="shared" si="6"/>
        <v>0</v>
      </c>
      <c r="AU48">
        <f t="shared" si="7"/>
        <v>0</v>
      </c>
      <c r="AV48">
        <f t="shared" si="8"/>
        <v>0</v>
      </c>
    </row>
    <row r="49" spans="1:48" x14ac:dyDescent="0.45">
      <c r="A49" s="207"/>
      <c r="B49" s="254"/>
      <c r="C49" s="9" t="s">
        <v>139</v>
      </c>
      <c r="D49" s="10" t="s">
        <v>117</v>
      </c>
      <c r="E49" s="10" t="s">
        <v>9</v>
      </c>
      <c r="F49" s="10"/>
      <c r="G49" s="11">
        <v>3</v>
      </c>
      <c r="H49" s="12" t="s">
        <v>132</v>
      </c>
      <c r="I49" s="13" t="s">
        <v>146</v>
      </c>
      <c r="J49" s="14"/>
      <c r="K49" s="11"/>
      <c r="L49" s="12"/>
      <c r="M49" s="15"/>
      <c r="N49" s="32"/>
      <c r="O49" s="17"/>
      <c r="P49" s="15"/>
      <c r="Q49" s="32"/>
      <c r="R49" s="17"/>
      <c r="S49" s="15"/>
      <c r="T49" s="32"/>
      <c r="U49" s="17"/>
      <c r="V49" s="15"/>
      <c r="W49" s="32"/>
      <c r="X49" s="17"/>
      <c r="Y49" s="15"/>
      <c r="Z49" s="32"/>
      <c r="AA49" s="18"/>
      <c r="AB49" s="19"/>
      <c r="AC49" s="250"/>
      <c r="AI49">
        <f>_xlfn.IFNA(MATCH(Legends!$B$5, L49:AA49,0), 999)</f>
        <v>999</v>
      </c>
      <c r="AJ49">
        <f>_xlfn.IFNA(MATCH(Legends!$B$8, L49:AA49,0), 999)</f>
        <v>999</v>
      </c>
      <c r="AK49">
        <f>_xlfn.IFNA(MATCH(Legends!$B$9, L49:AA49,0), 999)</f>
        <v>999</v>
      </c>
      <c r="AL49">
        <f>_xlfn.IFNA(MATCH(Legends!$B$6, L49:AA49,0),999)</f>
        <v>999</v>
      </c>
      <c r="AM49">
        <f>_xlfn.IFNA(MATCH(Legends!$B$7, 'Advisor View'!L49:AA49, 0), 999)</f>
        <v>999</v>
      </c>
      <c r="AN49">
        <f t="shared" si="1"/>
        <v>999</v>
      </c>
      <c r="AO49">
        <f t="shared" si="12"/>
        <v>0</v>
      </c>
      <c r="AP49">
        <f t="shared" si="2"/>
        <v>0</v>
      </c>
      <c r="AQ49">
        <f t="shared" si="3"/>
        <v>0</v>
      </c>
      <c r="AR49">
        <f t="shared" si="4"/>
        <v>0</v>
      </c>
      <c r="AS49">
        <f t="shared" si="5"/>
        <v>0</v>
      </c>
      <c r="AT49">
        <f t="shared" si="6"/>
        <v>0</v>
      </c>
      <c r="AU49">
        <f t="shared" si="7"/>
        <v>0</v>
      </c>
      <c r="AV49">
        <f t="shared" si="8"/>
        <v>0</v>
      </c>
    </row>
    <row r="50" spans="1:48" x14ac:dyDescent="0.45">
      <c r="A50" s="207"/>
      <c r="B50" s="254"/>
      <c r="C50" s="20" t="s">
        <v>140</v>
      </c>
      <c r="D50" s="21" t="s">
        <v>118</v>
      </c>
      <c r="E50" s="21" t="s">
        <v>9</v>
      </c>
      <c r="F50" s="21"/>
      <c r="G50" s="22">
        <v>3</v>
      </c>
      <c r="H50" s="23" t="s">
        <v>132</v>
      </c>
      <c r="I50" s="24" t="s">
        <v>146</v>
      </c>
      <c r="J50" s="25"/>
      <c r="K50" s="22"/>
      <c r="L50" s="23"/>
      <c r="M50" s="27"/>
      <c r="N50" s="33"/>
      <c r="O50" s="29"/>
      <c r="P50" s="27"/>
      <c r="Q50" s="33"/>
      <c r="R50" s="29"/>
      <c r="S50" s="27"/>
      <c r="T50" s="33"/>
      <c r="U50" s="29"/>
      <c r="V50" s="27"/>
      <c r="W50" s="33"/>
      <c r="X50" s="29"/>
      <c r="Y50" s="27"/>
      <c r="Z50" s="33"/>
      <c r="AA50" s="30"/>
      <c r="AB50" s="31"/>
      <c r="AC50" s="250"/>
      <c r="AI50">
        <f>_xlfn.IFNA(MATCH(Legends!$B$5, L50:AA50,0), 999)</f>
        <v>999</v>
      </c>
      <c r="AJ50">
        <f>_xlfn.IFNA(MATCH(Legends!$B$8, L50:AA50,0), 999)</f>
        <v>999</v>
      </c>
      <c r="AK50">
        <f>_xlfn.IFNA(MATCH(Legends!$B$9, L50:AA50,0), 999)</f>
        <v>999</v>
      </c>
      <c r="AL50">
        <f>_xlfn.IFNA(MATCH(Legends!$B$6, L50:AA50,0),999)</f>
        <v>999</v>
      </c>
      <c r="AM50">
        <f>_xlfn.IFNA(MATCH(Legends!$B$7, 'Advisor View'!L50:AA50, 0), 999)</f>
        <v>999</v>
      </c>
      <c r="AN50">
        <f t="shared" si="1"/>
        <v>999</v>
      </c>
      <c r="AO50">
        <f t="shared" si="12"/>
        <v>0</v>
      </c>
      <c r="AP50">
        <f t="shared" si="2"/>
        <v>0</v>
      </c>
      <c r="AQ50">
        <f t="shared" si="3"/>
        <v>0</v>
      </c>
      <c r="AR50">
        <f t="shared" si="4"/>
        <v>0</v>
      </c>
      <c r="AS50">
        <f t="shared" si="5"/>
        <v>0</v>
      </c>
      <c r="AT50">
        <f t="shared" si="6"/>
        <v>0</v>
      </c>
      <c r="AU50">
        <f t="shared" si="7"/>
        <v>0</v>
      </c>
      <c r="AV50">
        <f t="shared" si="8"/>
        <v>0</v>
      </c>
    </row>
    <row r="51" spans="1:48" x14ac:dyDescent="0.45">
      <c r="A51" s="207"/>
      <c r="B51" s="254"/>
      <c r="C51" s="9" t="s">
        <v>141</v>
      </c>
      <c r="D51" s="10" t="s">
        <v>119</v>
      </c>
      <c r="E51" s="10"/>
      <c r="F51" s="10" t="s">
        <v>10</v>
      </c>
      <c r="G51" s="11">
        <v>3</v>
      </c>
      <c r="H51" s="12" t="s">
        <v>132</v>
      </c>
      <c r="I51" s="13" t="s">
        <v>146</v>
      </c>
      <c r="J51" s="14"/>
      <c r="K51" s="11"/>
      <c r="L51" s="12"/>
      <c r="M51" s="15"/>
      <c r="N51" s="32"/>
      <c r="O51" s="17"/>
      <c r="P51" s="15"/>
      <c r="Q51" s="32"/>
      <c r="R51" s="17"/>
      <c r="S51" s="15"/>
      <c r="T51" s="32"/>
      <c r="U51" s="17"/>
      <c r="V51" s="15"/>
      <c r="W51" s="32"/>
      <c r="X51" s="17"/>
      <c r="Y51" s="15"/>
      <c r="Z51" s="32"/>
      <c r="AA51" s="18"/>
      <c r="AB51" s="19"/>
      <c r="AC51" s="250"/>
      <c r="AI51">
        <f>_xlfn.IFNA(MATCH(Legends!$B$5, L51:AA51,0), 999)</f>
        <v>999</v>
      </c>
      <c r="AJ51">
        <f>_xlfn.IFNA(MATCH(Legends!$B$8, L51:AA51,0), 999)</f>
        <v>999</v>
      </c>
      <c r="AK51">
        <f>_xlfn.IFNA(MATCH(Legends!$B$9, L51:AA51,0), 999)</f>
        <v>999</v>
      </c>
      <c r="AL51">
        <f>_xlfn.IFNA(MATCH(Legends!$B$6, L51:AA51,0),999)</f>
        <v>999</v>
      </c>
      <c r="AM51">
        <f>_xlfn.IFNA(MATCH(Legends!$B$7, 'Advisor View'!L51:AA51, 0), 999)</f>
        <v>999</v>
      </c>
      <c r="AN51">
        <f t="shared" si="1"/>
        <v>999</v>
      </c>
      <c r="AO51">
        <f t="shared" si="12"/>
        <v>0</v>
      </c>
      <c r="AP51">
        <f t="shared" si="2"/>
        <v>0</v>
      </c>
      <c r="AQ51">
        <f t="shared" si="3"/>
        <v>0</v>
      </c>
      <c r="AR51">
        <f t="shared" si="4"/>
        <v>0</v>
      </c>
      <c r="AS51">
        <f t="shared" si="5"/>
        <v>0</v>
      </c>
      <c r="AT51">
        <f t="shared" si="6"/>
        <v>0</v>
      </c>
      <c r="AU51">
        <f t="shared" si="7"/>
        <v>0</v>
      </c>
      <c r="AV51">
        <f t="shared" si="8"/>
        <v>0</v>
      </c>
    </row>
    <row r="52" spans="1:48" ht="14.65" thickBot="1" x14ac:dyDescent="0.5">
      <c r="A52" s="207"/>
      <c r="B52" s="255"/>
      <c r="C52" s="162" t="s">
        <v>158</v>
      </c>
      <c r="D52" s="163" t="s">
        <v>170</v>
      </c>
      <c r="E52" s="163"/>
      <c r="F52" s="163"/>
      <c r="G52" s="164">
        <v>3</v>
      </c>
      <c r="H52" s="37"/>
      <c r="I52" s="38"/>
      <c r="J52" s="39"/>
      <c r="K52" s="36"/>
      <c r="L52" s="37"/>
      <c r="M52" s="40"/>
      <c r="N52" s="41"/>
      <c r="O52" s="42"/>
      <c r="P52" s="40"/>
      <c r="Q52" s="41"/>
      <c r="R52" s="42"/>
      <c r="S52" s="40"/>
      <c r="T52" s="41"/>
      <c r="U52" s="42"/>
      <c r="V52" s="40"/>
      <c r="W52" s="41"/>
      <c r="X52" s="42"/>
      <c r="Y52" s="40"/>
      <c r="Z52" s="41"/>
      <c r="AA52" s="43"/>
      <c r="AB52" s="44"/>
      <c r="AC52" s="250"/>
      <c r="AI52">
        <f>_xlfn.IFNA(MATCH(Legends!$B$5, L52:AA52,0), 999)</f>
        <v>999</v>
      </c>
      <c r="AJ52">
        <f>_xlfn.IFNA(MATCH(Legends!$B$8, L52:AA52,0), 999)</f>
        <v>999</v>
      </c>
      <c r="AK52">
        <f>_xlfn.IFNA(MATCH(Legends!$B$9, L52:AA52,0), 999)</f>
        <v>999</v>
      </c>
      <c r="AL52">
        <f>_xlfn.IFNA(MATCH(Legends!$B$6, L52:AA52,0),999)</f>
        <v>999</v>
      </c>
      <c r="AM52">
        <f>_xlfn.IFNA(MATCH(Legends!$B$7, 'Advisor View'!L52:AA52, 0), 999)</f>
        <v>999</v>
      </c>
      <c r="AN52">
        <f t="shared" si="1"/>
        <v>999</v>
      </c>
      <c r="AO52">
        <f t="shared" si="12"/>
        <v>0</v>
      </c>
      <c r="AP52">
        <f t="shared" si="2"/>
        <v>0</v>
      </c>
      <c r="AQ52">
        <f t="shared" si="3"/>
        <v>0</v>
      </c>
      <c r="AR52">
        <f t="shared" si="4"/>
        <v>0</v>
      </c>
      <c r="AS52">
        <f t="shared" si="5"/>
        <v>0</v>
      </c>
      <c r="AT52">
        <f t="shared" si="6"/>
        <v>0</v>
      </c>
      <c r="AU52">
        <f t="shared" si="7"/>
        <v>0</v>
      </c>
      <c r="AV52">
        <f t="shared" si="8"/>
        <v>0</v>
      </c>
    </row>
    <row r="53" spans="1:48" x14ac:dyDescent="0.45">
      <c r="A53" s="207"/>
      <c r="B53" s="256" t="s">
        <v>39</v>
      </c>
      <c r="C53" s="45" t="s">
        <v>159</v>
      </c>
      <c r="D53" s="46" t="s">
        <v>160</v>
      </c>
      <c r="E53" s="46"/>
      <c r="F53" s="46" t="s">
        <v>10</v>
      </c>
      <c r="G53" s="47">
        <v>3</v>
      </c>
      <c r="H53" s="48" t="s">
        <v>147</v>
      </c>
      <c r="I53" s="49"/>
      <c r="J53" s="50"/>
      <c r="K53" s="47"/>
      <c r="L53" s="48"/>
      <c r="M53" s="51"/>
      <c r="N53" s="52"/>
      <c r="O53" s="53"/>
      <c r="P53" s="51"/>
      <c r="Q53" s="52"/>
      <c r="R53" s="53"/>
      <c r="S53" s="51"/>
      <c r="T53" s="52"/>
      <c r="U53" s="53"/>
      <c r="V53" s="51"/>
      <c r="W53" s="52"/>
      <c r="X53" s="53"/>
      <c r="Y53" s="51"/>
      <c r="Z53" s="52"/>
      <c r="AA53" s="54"/>
      <c r="AB53" s="55"/>
      <c r="AC53" s="4" t="s">
        <v>29</v>
      </c>
      <c r="AI53">
        <f>_xlfn.IFNA(MATCH(Legends!$B$5, L53:AA53,0), 999)</f>
        <v>999</v>
      </c>
      <c r="AJ53">
        <f>_xlfn.IFNA(MATCH(Legends!$B$8, L53:AA53,0), 999)</f>
        <v>999</v>
      </c>
      <c r="AK53">
        <f>_xlfn.IFNA(MATCH(Legends!$B$9, L53:AA53,0), 999)</f>
        <v>999</v>
      </c>
      <c r="AL53">
        <f>_xlfn.IFNA(MATCH(Legends!$B$6, L53:AA53,0),999)</f>
        <v>999</v>
      </c>
      <c r="AM53">
        <f>_xlfn.IFNA(MATCH(Legends!$B$7, 'Advisor View'!L53:AA53, 0), 999)</f>
        <v>999</v>
      </c>
      <c r="AN53">
        <f t="shared" si="1"/>
        <v>999</v>
      </c>
      <c r="AO53">
        <f t="shared" si="12"/>
        <v>0</v>
      </c>
      <c r="AP53">
        <f t="shared" si="2"/>
        <v>0</v>
      </c>
      <c r="AQ53">
        <f t="shared" si="3"/>
        <v>0</v>
      </c>
      <c r="AR53">
        <f t="shared" si="4"/>
        <v>0</v>
      </c>
      <c r="AS53">
        <f t="shared" si="5"/>
        <v>0</v>
      </c>
      <c r="AT53">
        <f t="shared" si="6"/>
        <v>0</v>
      </c>
      <c r="AU53">
        <f t="shared" si="7"/>
        <v>0</v>
      </c>
      <c r="AV53">
        <f t="shared" si="8"/>
        <v>0</v>
      </c>
    </row>
    <row r="54" spans="1:48" x14ac:dyDescent="0.45">
      <c r="A54" s="207"/>
      <c r="B54" s="257"/>
      <c r="C54" s="20" t="s">
        <v>161</v>
      </c>
      <c r="D54" s="21" t="s">
        <v>162</v>
      </c>
      <c r="E54" s="21" t="s">
        <v>9</v>
      </c>
      <c r="F54" s="21"/>
      <c r="G54" s="22">
        <v>3</v>
      </c>
      <c r="H54" s="23" t="s">
        <v>163</v>
      </c>
      <c r="I54" s="24" t="s">
        <v>164</v>
      </c>
      <c r="J54" s="25"/>
      <c r="K54" s="22"/>
      <c r="L54" s="23"/>
      <c r="M54" s="27"/>
      <c r="N54" s="33"/>
      <c r="O54" s="29"/>
      <c r="P54" s="27"/>
      <c r="Q54" s="33"/>
      <c r="R54" s="29"/>
      <c r="S54" s="27"/>
      <c r="T54" s="33"/>
      <c r="U54" s="29"/>
      <c r="V54" s="27"/>
      <c r="W54" s="33"/>
      <c r="X54" s="29"/>
      <c r="Y54" s="27"/>
      <c r="Z54" s="33"/>
      <c r="AA54" s="30"/>
      <c r="AB54" s="31"/>
      <c r="AC54" s="251">
        <v>12</v>
      </c>
      <c r="AI54">
        <f>_xlfn.IFNA(MATCH(Legends!$B$5, L54:AA54,0), 999)</f>
        <v>999</v>
      </c>
      <c r="AJ54">
        <f>_xlfn.IFNA(MATCH(Legends!$B$8, L54:AA54,0), 999)</f>
        <v>999</v>
      </c>
      <c r="AK54">
        <f>_xlfn.IFNA(MATCH(Legends!$B$9, L54:AA54,0), 999)</f>
        <v>999</v>
      </c>
      <c r="AL54">
        <f>_xlfn.IFNA(MATCH(Legends!$B$6, L54:AA54,0),999)</f>
        <v>999</v>
      </c>
      <c r="AM54">
        <f>_xlfn.IFNA(MATCH(Legends!$B$7, 'Advisor View'!L54:AA54, 0), 999)</f>
        <v>999</v>
      </c>
      <c r="AN54">
        <f t="shared" si="1"/>
        <v>999</v>
      </c>
      <c r="AO54">
        <f t="shared" si="12"/>
        <v>0</v>
      </c>
      <c r="AP54">
        <f t="shared" si="2"/>
        <v>0</v>
      </c>
      <c r="AQ54">
        <f t="shared" si="3"/>
        <v>0</v>
      </c>
      <c r="AR54">
        <f t="shared" si="4"/>
        <v>0</v>
      </c>
      <c r="AS54">
        <f t="shared" si="5"/>
        <v>0</v>
      </c>
      <c r="AT54">
        <f t="shared" si="6"/>
        <v>0</v>
      </c>
      <c r="AU54">
        <f t="shared" si="7"/>
        <v>0</v>
      </c>
      <c r="AV54">
        <f t="shared" si="8"/>
        <v>0</v>
      </c>
    </row>
    <row r="55" spans="1:48" x14ac:dyDescent="0.45">
      <c r="A55" s="207"/>
      <c r="B55" s="257"/>
      <c r="C55" s="9" t="s">
        <v>165</v>
      </c>
      <c r="D55" s="10" t="s">
        <v>166</v>
      </c>
      <c r="E55" s="10"/>
      <c r="F55" s="10" t="s">
        <v>10</v>
      </c>
      <c r="G55" s="11">
        <v>3</v>
      </c>
      <c r="H55" s="12" t="s">
        <v>164</v>
      </c>
      <c r="I55" s="13"/>
      <c r="J55" s="14"/>
      <c r="K55" s="11"/>
      <c r="L55" s="12"/>
      <c r="M55" s="15"/>
      <c r="N55" s="32"/>
      <c r="O55" s="17"/>
      <c r="P55" s="15"/>
      <c r="Q55" s="32"/>
      <c r="R55" s="17"/>
      <c r="S55" s="15"/>
      <c r="T55" s="32"/>
      <c r="U55" s="17"/>
      <c r="V55" s="15"/>
      <c r="W55" s="32"/>
      <c r="X55" s="17"/>
      <c r="Y55" s="15"/>
      <c r="Z55" s="32"/>
      <c r="AA55" s="18"/>
      <c r="AB55" s="19"/>
      <c r="AC55" s="251"/>
      <c r="AI55">
        <f>_xlfn.IFNA(MATCH(Legends!$B$5, L55:AA55,0), 999)</f>
        <v>999</v>
      </c>
      <c r="AJ55">
        <f>_xlfn.IFNA(MATCH(Legends!$B$8, L55:AA55,0), 999)</f>
        <v>999</v>
      </c>
      <c r="AK55">
        <f>_xlfn.IFNA(MATCH(Legends!$B$9, L55:AA55,0), 999)</f>
        <v>999</v>
      </c>
      <c r="AL55">
        <f>_xlfn.IFNA(MATCH(Legends!$B$6, L55:AA55,0),999)</f>
        <v>999</v>
      </c>
      <c r="AM55">
        <f>_xlfn.IFNA(MATCH(Legends!$B$7, 'Advisor View'!L55:AA55, 0), 999)</f>
        <v>999</v>
      </c>
      <c r="AN55">
        <f t="shared" si="1"/>
        <v>999</v>
      </c>
      <c r="AO55">
        <f t="shared" si="12"/>
        <v>0</v>
      </c>
      <c r="AP55">
        <f t="shared" si="2"/>
        <v>0</v>
      </c>
      <c r="AQ55">
        <f t="shared" si="3"/>
        <v>0</v>
      </c>
      <c r="AR55">
        <f t="shared" si="4"/>
        <v>0</v>
      </c>
      <c r="AS55">
        <f t="shared" si="5"/>
        <v>0</v>
      </c>
      <c r="AT55">
        <f t="shared" si="6"/>
        <v>0</v>
      </c>
      <c r="AU55">
        <f t="shared" si="7"/>
        <v>0</v>
      </c>
      <c r="AV55">
        <f t="shared" si="8"/>
        <v>0</v>
      </c>
    </row>
    <row r="56" spans="1:48" x14ac:dyDescent="0.45">
      <c r="A56" s="207"/>
      <c r="B56" s="257"/>
      <c r="C56" s="159" t="s">
        <v>167</v>
      </c>
      <c r="D56" s="160" t="s">
        <v>171</v>
      </c>
      <c r="E56" s="160"/>
      <c r="F56" s="160"/>
      <c r="G56" s="161">
        <v>3</v>
      </c>
      <c r="H56" s="23"/>
      <c r="I56" s="24"/>
      <c r="J56" s="25"/>
      <c r="K56" s="22"/>
      <c r="L56" s="23"/>
      <c r="M56" s="27"/>
      <c r="N56" s="33"/>
      <c r="O56" s="29"/>
      <c r="P56" s="27"/>
      <c r="Q56" s="33"/>
      <c r="R56" s="29"/>
      <c r="S56" s="27"/>
      <c r="T56" s="33"/>
      <c r="U56" s="29"/>
      <c r="V56" s="27"/>
      <c r="W56" s="33"/>
      <c r="X56" s="29"/>
      <c r="Y56" s="27"/>
      <c r="Z56" s="33"/>
      <c r="AA56" s="30"/>
      <c r="AB56" s="31"/>
      <c r="AC56" s="251"/>
      <c r="AI56">
        <f>_xlfn.IFNA(MATCH(Legends!$B$5, L56:AA56,0), 999)</f>
        <v>999</v>
      </c>
      <c r="AJ56">
        <f>_xlfn.IFNA(MATCH(Legends!$B$8, L56:AA56,0), 999)</f>
        <v>999</v>
      </c>
      <c r="AK56">
        <f>_xlfn.IFNA(MATCH(Legends!$B$9, L56:AA56,0), 999)</f>
        <v>999</v>
      </c>
      <c r="AL56">
        <f>_xlfn.IFNA(MATCH(Legends!$B$6, L56:AA56,0),999)</f>
        <v>999</v>
      </c>
      <c r="AM56">
        <f>_xlfn.IFNA(MATCH(Legends!$B$7, 'Advisor View'!L56:AA56, 0), 999)</f>
        <v>999</v>
      </c>
      <c r="AN56">
        <f t="shared" si="1"/>
        <v>999</v>
      </c>
      <c r="AO56">
        <f t="shared" si="12"/>
        <v>0</v>
      </c>
      <c r="AP56">
        <f t="shared" si="2"/>
        <v>0</v>
      </c>
      <c r="AQ56">
        <f t="shared" si="3"/>
        <v>0</v>
      </c>
      <c r="AR56">
        <f t="shared" si="4"/>
        <v>0</v>
      </c>
      <c r="AS56">
        <f t="shared" si="5"/>
        <v>0</v>
      </c>
      <c r="AT56">
        <f t="shared" si="6"/>
        <v>0</v>
      </c>
      <c r="AU56">
        <f t="shared" si="7"/>
        <v>0</v>
      </c>
      <c r="AV56">
        <f t="shared" si="8"/>
        <v>0</v>
      </c>
    </row>
    <row r="57" spans="1:48" x14ac:dyDescent="0.45">
      <c r="A57" s="207"/>
      <c r="B57" s="257"/>
      <c r="C57" s="9"/>
      <c r="D57" s="10"/>
      <c r="E57" s="10"/>
      <c r="F57" s="10"/>
      <c r="G57" s="11"/>
      <c r="H57" s="12"/>
      <c r="I57" s="13"/>
      <c r="J57" s="14"/>
      <c r="K57" s="11"/>
      <c r="L57" s="12"/>
      <c r="M57" s="15"/>
      <c r="N57" s="32"/>
      <c r="O57" s="17"/>
      <c r="P57" s="15"/>
      <c r="Q57" s="32"/>
      <c r="R57" s="17"/>
      <c r="S57" s="15"/>
      <c r="T57" s="32"/>
      <c r="U57" s="17"/>
      <c r="V57" s="15"/>
      <c r="W57" s="32"/>
      <c r="X57" s="17"/>
      <c r="Y57" s="15"/>
      <c r="Z57" s="32"/>
      <c r="AA57" s="18"/>
      <c r="AB57" s="19"/>
      <c r="AC57" s="251"/>
      <c r="AI57">
        <f>_xlfn.IFNA(MATCH(Legends!$B$5, L57:AA57,0), 999)</f>
        <v>999</v>
      </c>
      <c r="AJ57">
        <f>_xlfn.IFNA(MATCH(Legends!$B$8, L57:AA57,0), 999)</f>
        <v>999</v>
      </c>
      <c r="AK57">
        <f>_xlfn.IFNA(MATCH(Legends!$B$9, L57:AA57,0), 999)</f>
        <v>999</v>
      </c>
      <c r="AL57">
        <f>_xlfn.IFNA(MATCH(Legends!$B$6, L57:AA57,0),999)</f>
        <v>999</v>
      </c>
      <c r="AM57">
        <f>_xlfn.IFNA(MATCH(Legends!$B$7, 'Advisor View'!L57:AA57, 0), 999)</f>
        <v>999</v>
      </c>
      <c r="AN57">
        <f t="shared" si="1"/>
        <v>999</v>
      </c>
      <c r="AO57">
        <f t="shared" si="12"/>
        <v>0</v>
      </c>
      <c r="AP57">
        <f t="shared" si="2"/>
        <v>0</v>
      </c>
      <c r="AQ57">
        <f t="shared" si="3"/>
        <v>0</v>
      </c>
      <c r="AR57">
        <f t="shared" si="4"/>
        <v>0</v>
      </c>
      <c r="AS57">
        <f t="shared" si="5"/>
        <v>0</v>
      </c>
      <c r="AT57">
        <f t="shared" si="6"/>
        <v>0</v>
      </c>
      <c r="AU57">
        <f t="shared" si="7"/>
        <v>0</v>
      </c>
      <c r="AV57">
        <f t="shared" si="8"/>
        <v>0</v>
      </c>
    </row>
    <row r="58" spans="1:48" ht="14.65" thickBot="1" x14ac:dyDescent="0.5">
      <c r="A58" s="207"/>
      <c r="B58" s="258"/>
      <c r="C58" s="34"/>
      <c r="D58" s="35"/>
      <c r="E58" s="35"/>
      <c r="F58" s="35"/>
      <c r="G58" s="36"/>
      <c r="H58" s="67"/>
      <c r="I58" s="38"/>
      <c r="J58" s="39"/>
      <c r="K58" s="36"/>
      <c r="L58" s="37"/>
      <c r="M58" s="40"/>
      <c r="N58" s="41"/>
      <c r="O58" s="42"/>
      <c r="P58" s="40"/>
      <c r="Q58" s="41"/>
      <c r="R58" s="42"/>
      <c r="S58" s="40"/>
      <c r="T58" s="41"/>
      <c r="U58" s="42"/>
      <c r="V58" s="40"/>
      <c r="W58" s="41"/>
      <c r="X58" s="42"/>
      <c r="Y58" s="40"/>
      <c r="Z58" s="41"/>
      <c r="AA58" s="43"/>
      <c r="AB58" s="44"/>
      <c r="AC58" s="251"/>
      <c r="AI58">
        <f>_xlfn.IFNA(MATCH(Legends!$B$5, L58:AA58,0), 999)</f>
        <v>999</v>
      </c>
      <c r="AJ58">
        <f>_xlfn.IFNA(MATCH(Legends!$B$8, L58:AA58,0), 999)</f>
        <v>999</v>
      </c>
      <c r="AK58">
        <f>_xlfn.IFNA(MATCH(Legends!$B$9, L58:AA58,0), 999)</f>
        <v>999</v>
      </c>
      <c r="AL58">
        <f>_xlfn.IFNA(MATCH(Legends!$B$6, L58:AA58,0),999)</f>
        <v>999</v>
      </c>
      <c r="AM58">
        <f>_xlfn.IFNA(MATCH(Legends!$B$7, 'Advisor View'!L58:AA58, 0), 999)</f>
        <v>999</v>
      </c>
      <c r="AN58">
        <f t="shared" si="1"/>
        <v>999</v>
      </c>
      <c r="AO58">
        <f t="shared" si="12"/>
        <v>0</v>
      </c>
      <c r="AP58">
        <f t="shared" si="2"/>
        <v>0</v>
      </c>
      <c r="AQ58">
        <f t="shared" si="3"/>
        <v>0</v>
      </c>
      <c r="AR58">
        <f t="shared" si="4"/>
        <v>0</v>
      </c>
      <c r="AS58">
        <f t="shared" si="5"/>
        <v>0</v>
      </c>
      <c r="AT58">
        <f t="shared" si="6"/>
        <v>0</v>
      </c>
      <c r="AU58">
        <f t="shared" si="7"/>
        <v>0</v>
      </c>
      <c r="AV58">
        <f t="shared" si="8"/>
        <v>0</v>
      </c>
    </row>
    <row r="59" spans="1:48" x14ac:dyDescent="0.45">
      <c r="A59" s="207"/>
      <c r="B59" s="254" t="s">
        <v>6</v>
      </c>
      <c r="C59" s="9"/>
      <c r="D59" s="10"/>
      <c r="E59" s="10"/>
      <c r="F59" s="10"/>
      <c r="G59" s="11"/>
      <c r="H59" s="12"/>
      <c r="I59" s="13"/>
      <c r="J59" s="14"/>
      <c r="K59" s="11"/>
      <c r="L59" s="12"/>
      <c r="M59" s="15"/>
      <c r="N59" s="32"/>
      <c r="O59" s="17"/>
      <c r="P59" s="15"/>
      <c r="Q59" s="32"/>
      <c r="R59" s="17"/>
      <c r="S59" s="15"/>
      <c r="T59" s="32"/>
      <c r="U59" s="17"/>
      <c r="V59" s="15"/>
      <c r="W59" s="32"/>
      <c r="X59" s="17"/>
      <c r="Y59" s="15"/>
      <c r="Z59" s="32"/>
      <c r="AA59" s="18"/>
      <c r="AB59" s="19"/>
      <c r="AC59" s="251"/>
      <c r="AI59">
        <f>_xlfn.IFNA(MATCH(Legends!$B$5, L59:AA59,0), 999)</f>
        <v>999</v>
      </c>
      <c r="AJ59">
        <f>_xlfn.IFNA(MATCH(Legends!$B$8, L59:AA59,0), 999)</f>
        <v>999</v>
      </c>
      <c r="AK59">
        <f>_xlfn.IFNA(MATCH(Legends!$B$9, L59:AA59,0), 999)</f>
        <v>999</v>
      </c>
      <c r="AL59">
        <f>_xlfn.IFNA(MATCH(Legends!$B$6, L59:AA59,0),999)</f>
        <v>999</v>
      </c>
      <c r="AM59">
        <f>_xlfn.IFNA(MATCH(Legends!$B$7, 'Advisor View'!L59:AA59, 0), 999)</f>
        <v>999</v>
      </c>
      <c r="AN59">
        <f t="shared" si="1"/>
        <v>999</v>
      </c>
      <c r="AO59">
        <f t="shared" si="12"/>
        <v>0</v>
      </c>
      <c r="AP59">
        <f t="shared" si="2"/>
        <v>0</v>
      </c>
      <c r="AQ59">
        <f t="shared" si="3"/>
        <v>0</v>
      </c>
      <c r="AR59">
        <f t="shared" si="4"/>
        <v>0</v>
      </c>
      <c r="AS59">
        <f t="shared" si="5"/>
        <v>0</v>
      </c>
      <c r="AT59">
        <f t="shared" si="6"/>
        <v>0</v>
      </c>
      <c r="AU59">
        <f t="shared" si="7"/>
        <v>0</v>
      </c>
      <c r="AV59">
        <f t="shared" si="8"/>
        <v>0</v>
      </c>
    </row>
    <row r="60" spans="1:48" x14ac:dyDescent="0.45">
      <c r="A60" s="207"/>
      <c r="B60" s="254"/>
      <c r="C60" s="20"/>
      <c r="D60" s="21"/>
      <c r="E60" s="21"/>
      <c r="F60" s="21"/>
      <c r="G60" s="22"/>
      <c r="H60" s="23"/>
      <c r="I60" s="24"/>
      <c r="J60" s="25"/>
      <c r="K60" s="22"/>
      <c r="L60" s="23"/>
      <c r="M60" s="27"/>
      <c r="N60" s="33"/>
      <c r="O60" s="29"/>
      <c r="P60" s="27"/>
      <c r="Q60" s="33"/>
      <c r="R60" s="29"/>
      <c r="S60" s="27"/>
      <c r="T60" s="33"/>
      <c r="U60" s="29"/>
      <c r="V60" s="27"/>
      <c r="W60" s="33"/>
      <c r="X60" s="29"/>
      <c r="Y60" s="27"/>
      <c r="Z60" s="33"/>
      <c r="AA60" s="30"/>
      <c r="AB60" s="31"/>
      <c r="AC60" s="251"/>
      <c r="AI60">
        <f>_xlfn.IFNA(MATCH(Legends!$B$5, L60:AA60,0), 999)</f>
        <v>999</v>
      </c>
      <c r="AJ60">
        <f>_xlfn.IFNA(MATCH(Legends!$B$8, L60:AA60,0), 999)</f>
        <v>999</v>
      </c>
      <c r="AK60">
        <f>_xlfn.IFNA(MATCH(Legends!$B$9, L60:AA60,0), 999)</f>
        <v>999</v>
      </c>
      <c r="AL60">
        <f>_xlfn.IFNA(MATCH(Legends!$B$6, L60:AA60,0),999)</f>
        <v>999</v>
      </c>
      <c r="AM60">
        <f>_xlfn.IFNA(MATCH(Legends!$B$7, 'Advisor View'!L60:AA60, 0), 999)</f>
        <v>999</v>
      </c>
      <c r="AN60">
        <f t="shared" si="1"/>
        <v>999</v>
      </c>
      <c r="AO60">
        <f t="shared" si="12"/>
        <v>0</v>
      </c>
      <c r="AP60">
        <f t="shared" si="2"/>
        <v>0</v>
      </c>
      <c r="AQ60">
        <f t="shared" si="3"/>
        <v>0</v>
      </c>
      <c r="AR60">
        <f t="shared" si="4"/>
        <v>0</v>
      </c>
      <c r="AS60">
        <f t="shared" si="5"/>
        <v>0</v>
      </c>
      <c r="AT60">
        <f t="shared" si="6"/>
        <v>0</v>
      </c>
      <c r="AU60">
        <f t="shared" si="7"/>
        <v>0</v>
      </c>
      <c r="AV60">
        <f t="shared" si="8"/>
        <v>0</v>
      </c>
    </row>
    <row r="61" spans="1:48" x14ac:dyDescent="0.45">
      <c r="A61" s="207"/>
      <c r="B61" s="254"/>
      <c r="C61" s="9"/>
      <c r="D61" s="10"/>
      <c r="E61" s="10"/>
      <c r="F61" s="10"/>
      <c r="G61" s="11"/>
      <c r="H61" s="12"/>
      <c r="I61" s="13"/>
      <c r="J61" s="14"/>
      <c r="K61" s="11"/>
      <c r="L61" s="12"/>
      <c r="M61" s="15"/>
      <c r="N61" s="32"/>
      <c r="O61" s="17"/>
      <c r="P61" s="15"/>
      <c r="Q61" s="32"/>
      <c r="R61" s="17"/>
      <c r="S61" s="15"/>
      <c r="T61" s="32"/>
      <c r="U61" s="17"/>
      <c r="V61" s="15"/>
      <c r="W61" s="32"/>
      <c r="X61" s="17"/>
      <c r="Y61" s="15"/>
      <c r="Z61" s="32"/>
      <c r="AA61" s="18"/>
      <c r="AB61" s="19"/>
      <c r="AC61" s="251"/>
      <c r="AI61">
        <f>_xlfn.IFNA(MATCH(Legends!$B$5, L61:AA61,0), 999)</f>
        <v>999</v>
      </c>
      <c r="AJ61">
        <f>_xlfn.IFNA(MATCH(Legends!$B$8, L61:AA61,0), 999)</f>
        <v>999</v>
      </c>
      <c r="AK61">
        <f>_xlfn.IFNA(MATCH(Legends!$B$9, L61:AA61,0), 999)</f>
        <v>999</v>
      </c>
      <c r="AL61">
        <f>_xlfn.IFNA(MATCH(Legends!$B$6, L61:AA61,0),999)</f>
        <v>999</v>
      </c>
      <c r="AM61">
        <f>_xlfn.IFNA(MATCH(Legends!$B$7, 'Advisor View'!L61:AA61, 0), 999)</f>
        <v>999</v>
      </c>
      <c r="AN61">
        <f t="shared" si="1"/>
        <v>999</v>
      </c>
      <c r="AO61">
        <f t="shared" si="12"/>
        <v>0</v>
      </c>
      <c r="AP61">
        <f t="shared" si="2"/>
        <v>0</v>
      </c>
      <c r="AQ61">
        <f t="shared" si="3"/>
        <v>0</v>
      </c>
      <c r="AR61">
        <f t="shared" si="4"/>
        <v>0</v>
      </c>
      <c r="AS61">
        <f t="shared" si="5"/>
        <v>0</v>
      </c>
      <c r="AT61">
        <f t="shared" si="6"/>
        <v>0</v>
      </c>
      <c r="AU61">
        <f t="shared" si="7"/>
        <v>0</v>
      </c>
      <c r="AV61">
        <f t="shared" si="8"/>
        <v>0</v>
      </c>
    </row>
    <row r="62" spans="1:48" x14ac:dyDescent="0.45">
      <c r="A62" s="207"/>
      <c r="B62" s="254"/>
      <c r="C62" s="20"/>
      <c r="D62" s="21"/>
      <c r="E62" s="21"/>
      <c r="F62" s="21"/>
      <c r="G62" s="22"/>
      <c r="H62" s="23"/>
      <c r="I62" s="24"/>
      <c r="J62" s="25"/>
      <c r="K62" s="22"/>
      <c r="L62" s="23"/>
      <c r="M62" s="27"/>
      <c r="N62" s="33"/>
      <c r="O62" s="29"/>
      <c r="P62" s="27"/>
      <c r="Q62" s="33"/>
      <c r="R62" s="29"/>
      <c r="S62" s="27"/>
      <c r="T62" s="33"/>
      <c r="U62" s="29"/>
      <c r="V62" s="27"/>
      <c r="W62" s="33"/>
      <c r="X62" s="29"/>
      <c r="Y62" s="27"/>
      <c r="Z62" s="33"/>
      <c r="AA62" s="30"/>
      <c r="AB62" s="31"/>
      <c r="AC62" s="251"/>
      <c r="AI62">
        <f>_xlfn.IFNA(MATCH(Legends!$B$5, L62:AA62,0), 999)</f>
        <v>999</v>
      </c>
      <c r="AJ62">
        <f>_xlfn.IFNA(MATCH(Legends!$B$8, L62:AA62,0), 999)</f>
        <v>999</v>
      </c>
      <c r="AK62">
        <f>_xlfn.IFNA(MATCH(Legends!$B$9, L62:AA62,0), 999)</f>
        <v>999</v>
      </c>
      <c r="AL62">
        <f>_xlfn.IFNA(MATCH(Legends!$B$6, L62:AA62,0),999)</f>
        <v>999</v>
      </c>
      <c r="AM62">
        <f>_xlfn.IFNA(MATCH(Legends!$B$7, 'Advisor View'!L62:AA62, 0), 999)</f>
        <v>999</v>
      </c>
      <c r="AN62">
        <f t="shared" si="1"/>
        <v>999</v>
      </c>
      <c r="AO62">
        <f t="shared" si="12"/>
        <v>0</v>
      </c>
      <c r="AP62">
        <f t="shared" si="2"/>
        <v>0</v>
      </c>
      <c r="AQ62">
        <f t="shared" si="3"/>
        <v>0</v>
      </c>
      <c r="AR62">
        <f t="shared" si="4"/>
        <v>0</v>
      </c>
      <c r="AS62">
        <f t="shared" si="5"/>
        <v>0</v>
      </c>
      <c r="AT62">
        <f t="shared" si="6"/>
        <v>0</v>
      </c>
      <c r="AU62">
        <f t="shared" si="7"/>
        <v>0</v>
      </c>
      <c r="AV62">
        <f t="shared" si="8"/>
        <v>0</v>
      </c>
    </row>
    <row r="63" spans="1:48" ht="14.65" thickBot="1" x14ac:dyDescent="0.5">
      <c r="A63" s="208"/>
      <c r="B63" s="254"/>
      <c r="C63" s="9"/>
      <c r="D63" s="10"/>
      <c r="E63" s="10"/>
      <c r="F63" s="10"/>
      <c r="G63" s="11"/>
      <c r="H63" s="12"/>
      <c r="I63" s="13"/>
      <c r="J63" s="14"/>
      <c r="K63" s="11"/>
      <c r="L63" s="12"/>
      <c r="M63" s="15"/>
      <c r="N63" s="32"/>
      <c r="O63" s="17"/>
      <c r="P63" s="15"/>
      <c r="Q63" s="32"/>
      <c r="R63" s="17"/>
      <c r="S63" s="15"/>
      <c r="T63" s="32"/>
      <c r="U63" s="17"/>
      <c r="V63" s="15"/>
      <c r="W63" s="32"/>
      <c r="X63" s="17"/>
      <c r="Y63" s="15"/>
      <c r="Z63" s="32"/>
      <c r="AA63" s="18"/>
      <c r="AB63" s="19"/>
      <c r="AC63" s="251"/>
      <c r="AI63">
        <f>_xlfn.IFNA(MATCH(Legends!$B$5, L63:AA63,0), 999)</f>
        <v>999</v>
      </c>
      <c r="AJ63">
        <f>_xlfn.IFNA(MATCH(Legends!$B$8, L63:AA63,0), 999)</f>
        <v>999</v>
      </c>
      <c r="AK63">
        <f>_xlfn.IFNA(MATCH(Legends!$B$9, L63:AA63,0), 999)</f>
        <v>999</v>
      </c>
      <c r="AL63">
        <f>_xlfn.IFNA(MATCH(Legends!$B$6, L63:AA63,0),999)</f>
        <v>999</v>
      </c>
      <c r="AM63">
        <f>_xlfn.IFNA(MATCH(Legends!$B$7, 'Advisor View'!L63:AA63, 0), 999)</f>
        <v>999</v>
      </c>
      <c r="AN63">
        <f t="shared" si="1"/>
        <v>999</v>
      </c>
      <c r="AO63">
        <f t="shared" si="12"/>
        <v>0</v>
      </c>
      <c r="AP63">
        <f t="shared" si="2"/>
        <v>0</v>
      </c>
      <c r="AQ63">
        <f t="shared" si="3"/>
        <v>0</v>
      </c>
      <c r="AR63">
        <f t="shared" si="4"/>
        <v>0</v>
      </c>
      <c r="AS63">
        <f t="shared" si="5"/>
        <v>0</v>
      </c>
      <c r="AT63">
        <f t="shared" si="6"/>
        <v>0</v>
      </c>
      <c r="AU63">
        <f t="shared" si="7"/>
        <v>0</v>
      </c>
      <c r="AV63">
        <f t="shared" si="8"/>
        <v>0</v>
      </c>
    </row>
    <row r="64" spans="1:48" ht="15" customHeight="1" x14ac:dyDescent="0.45">
      <c r="A64" s="68"/>
      <c r="B64" s="209"/>
      <c r="C64" s="218" t="s">
        <v>0</v>
      </c>
      <c r="D64" s="134" t="s">
        <v>42</v>
      </c>
      <c r="E64" s="134"/>
      <c r="F64" s="134"/>
      <c r="G64" s="134"/>
      <c r="H64" s="211" t="s">
        <v>7</v>
      </c>
      <c r="I64" s="211"/>
      <c r="J64" s="211" t="s">
        <v>8</v>
      </c>
      <c r="K64" s="211"/>
      <c r="L64" s="212" t="s">
        <v>22</v>
      </c>
      <c r="M64" s="211" t="str">
        <f>CONCATENATE(('Student Profile'!$C$8+0), " - ", ('Student Profile'!$C$8+1))</f>
        <v>2025 - 2026</v>
      </c>
      <c r="N64" s="211"/>
      <c r="O64" s="211"/>
      <c r="P64" s="211" t="str">
        <f>CONCATENATE(('Student Profile'!$C$8+1), " - ", ('Student Profile'!$C$8+2))</f>
        <v>2026 - 2027</v>
      </c>
      <c r="Q64" s="211"/>
      <c r="R64" s="211"/>
      <c r="S64" s="211" t="str">
        <f>CONCATENATE(('Student Profile'!$C$8+2), " - ", ('Student Profile'!$C$8+3))</f>
        <v>2027 - 2028</v>
      </c>
      <c r="T64" s="211"/>
      <c r="U64" s="211"/>
      <c r="V64" s="211" t="str">
        <f>CONCATENATE(('Student Profile'!$C$8+3), " - ", ('Student Profile'!$C$8+4))</f>
        <v>2028 - 2029</v>
      </c>
      <c r="W64" s="211"/>
      <c r="X64" s="211"/>
      <c r="Y64" s="211" t="str">
        <f>CONCATENATE(('Student Profile'!$C$8+4), " - ", ('Student Profile'!$C$8+5))</f>
        <v>2029 - 2030</v>
      </c>
      <c r="Z64" s="211"/>
      <c r="AA64" s="211"/>
      <c r="AB64" s="252" t="s">
        <v>21</v>
      </c>
      <c r="AC64" s="248" t="s">
        <v>28</v>
      </c>
      <c r="AI64" s="98">
        <v>999</v>
      </c>
      <c r="AJ64" s="98">
        <v>999</v>
      </c>
      <c r="AK64" s="98">
        <v>999</v>
      </c>
      <c r="AL64" s="98">
        <v>999</v>
      </c>
      <c r="AM64" s="98">
        <v>999</v>
      </c>
    </row>
    <row r="65" spans="1:48" ht="14.65" thickBot="1" x14ac:dyDescent="0.5">
      <c r="A65" s="68"/>
      <c r="B65" s="210"/>
      <c r="C65" s="219"/>
      <c r="D65" s="132" t="s">
        <v>1</v>
      </c>
      <c r="E65" s="132" t="s">
        <v>9</v>
      </c>
      <c r="F65" s="132" t="s">
        <v>10</v>
      </c>
      <c r="G65" s="124" t="s">
        <v>2</v>
      </c>
      <c r="H65" s="124">
        <v>1</v>
      </c>
      <c r="I65" s="124">
        <v>2</v>
      </c>
      <c r="J65" s="124">
        <v>1</v>
      </c>
      <c r="K65" s="124">
        <v>2</v>
      </c>
      <c r="L65" s="213"/>
      <c r="M65" s="124" t="s">
        <v>9</v>
      </c>
      <c r="N65" s="124" t="s">
        <v>10</v>
      </c>
      <c r="O65" s="133" t="s">
        <v>11</v>
      </c>
      <c r="P65" s="124" t="s">
        <v>9</v>
      </c>
      <c r="Q65" s="124" t="s">
        <v>10</v>
      </c>
      <c r="R65" s="133" t="s">
        <v>11</v>
      </c>
      <c r="S65" s="124" t="s">
        <v>9</v>
      </c>
      <c r="T65" s="124" t="s">
        <v>10</v>
      </c>
      <c r="U65" s="133" t="s">
        <v>11</v>
      </c>
      <c r="V65" s="124" t="s">
        <v>9</v>
      </c>
      <c r="W65" s="124" t="s">
        <v>10</v>
      </c>
      <c r="X65" s="133" t="s">
        <v>11</v>
      </c>
      <c r="Y65" s="124" t="s">
        <v>9</v>
      </c>
      <c r="Z65" s="124" t="s">
        <v>10</v>
      </c>
      <c r="AA65" s="133" t="s">
        <v>11</v>
      </c>
      <c r="AB65" s="253"/>
      <c r="AC65" s="249"/>
      <c r="AI65" s="98">
        <v>999</v>
      </c>
      <c r="AJ65" s="98">
        <v>999</v>
      </c>
      <c r="AK65" s="98">
        <v>999</v>
      </c>
      <c r="AL65" s="98">
        <v>999</v>
      </c>
      <c r="AM65" s="98">
        <v>999</v>
      </c>
    </row>
    <row r="66" spans="1:48" x14ac:dyDescent="0.45">
      <c r="A66" s="68"/>
      <c r="B66" s="233" t="s">
        <v>43</v>
      </c>
      <c r="C66" s="9"/>
      <c r="D66" s="10"/>
      <c r="E66" s="10"/>
      <c r="F66" s="10"/>
      <c r="G66" s="11"/>
      <c r="H66" s="12"/>
      <c r="I66" s="13"/>
      <c r="J66" s="14"/>
      <c r="K66" s="11"/>
      <c r="L66" s="12"/>
      <c r="M66" s="15"/>
      <c r="N66" s="16"/>
      <c r="O66" s="17"/>
      <c r="P66" s="15"/>
      <c r="Q66" s="16"/>
      <c r="R66" s="17"/>
      <c r="S66" s="15"/>
      <c r="T66" s="16"/>
      <c r="U66" s="17"/>
      <c r="V66" s="15"/>
      <c r="W66" s="16"/>
      <c r="X66" s="17"/>
      <c r="Y66" s="15"/>
      <c r="Z66" s="16"/>
      <c r="AA66" s="18"/>
      <c r="AB66" s="19"/>
      <c r="AC66" s="250">
        <f>SUM(AO66:AO76)</f>
        <v>0</v>
      </c>
      <c r="AI66">
        <f>_xlfn.IFNA(MATCH(Legends!$B$5, L66:AA66,0), 999)</f>
        <v>999</v>
      </c>
      <c r="AJ66">
        <f>_xlfn.IFNA(MATCH(Legends!$B$8, L66:AA66,0), 999)</f>
        <v>999</v>
      </c>
      <c r="AK66">
        <f>_xlfn.IFNA(MATCH(Legends!$B$9, L66:AA66,0), 999)</f>
        <v>999</v>
      </c>
      <c r="AL66">
        <f>_xlfn.IFNA(MATCH(Legends!$B$6, L66:AA66,0),999)</f>
        <v>999</v>
      </c>
      <c r="AM66">
        <f>_xlfn.IFNA(MATCH(Legends!$B$7, 'Advisor View'!L66:AA66, 0), 999)</f>
        <v>999</v>
      </c>
      <c r="AN66">
        <f t="shared" ref="AN66" si="13">MIN(IF(ISERROR(AI66), 999, AI66), IF(ISERROR(AL66), 999, AL66), IF(ISERROR(AM66), 999, AM66))</f>
        <v>999</v>
      </c>
      <c r="AO66">
        <f t="shared" ref="AO66:AO76" si="14">IF(AN66&lt;999,G66,0)</f>
        <v>0</v>
      </c>
      <c r="AP66">
        <f t="shared" si="2"/>
        <v>0</v>
      </c>
      <c r="AQ66">
        <f t="shared" si="3"/>
        <v>0</v>
      </c>
      <c r="AR66">
        <f t="shared" si="4"/>
        <v>0</v>
      </c>
      <c r="AS66">
        <f t="shared" si="5"/>
        <v>0</v>
      </c>
      <c r="AT66">
        <f t="shared" si="6"/>
        <v>0</v>
      </c>
      <c r="AU66">
        <f t="shared" si="7"/>
        <v>0</v>
      </c>
      <c r="AV66">
        <f t="shared" si="8"/>
        <v>0</v>
      </c>
    </row>
    <row r="67" spans="1:48" x14ac:dyDescent="0.45">
      <c r="A67" s="68"/>
      <c r="B67" s="234"/>
      <c r="C67" s="136"/>
      <c r="D67" s="137"/>
      <c r="E67" s="21"/>
      <c r="F67" s="21"/>
      <c r="G67" s="22"/>
      <c r="H67" s="23"/>
      <c r="I67" s="24"/>
      <c r="J67" s="25"/>
      <c r="K67" s="22"/>
      <c r="L67" s="26"/>
      <c r="M67" s="27"/>
      <c r="N67" s="28"/>
      <c r="O67" s="29"/>
      <c r="P67" s="27"/>
      <c r="Q67" s="28"/>
      <c r="R67" s="29"/>
      <c r="S67" s="27"/>
      <c r="T67" s="28"/>
      <c r="U67" s="29"/>
      <c r="V67" s="27"/>
      <c r="W67" s="28"/>
      <c r="X67" s="29"/>
      <c r="Y67" s="27"/>
      <c r="Z67" s="28"/>
      <c r="AA67" s="30"/>
      <c r="AB67" s="31"/>
      <c r="AC67" s="250"/>
      <c r="AE67" t="s">
        <v>109</v>
      </c>
      <c r="AI67">
        <f>_xlfn.IFNA(MATCH(Legends!$B$5, L67:AA67,0), 999)</f>
        <v>999</v>
      </c>
      <c r="AJ67">
        <f>_xlfn.IFNA(MATCH(Legends!$B$8, L67:AA67,0), 999)</f>
        <v>999</v>
      </c>
      <c r="AK67">
        <f>_xlfn.IFNA(MATCH(Legends!$B$9, L67:AA67,0), 999)</f>
        <v>999</v>
      </c>
      <c r="AL67">
        <f>_xlfn.IFNA(MATCH(Legends!$B$6, L67:AA67,0),999)</f>
        <v>999</v>
      </c>
      <c r="AM67">
        <f>_xlfn.IFNA(MATCH(Legends!$B$7, 'Advisor View'!L67:AA67, 0), 999)</f>
        <v>999</v>
      </c>
      <c r="AN67">
        <f t="shared" ref="AN67:AN76" si="15">MIN(IF(ISERROR(AI67), 999, AI67), IF(ISERROR(AL67), 999, AL67), IF(ISERROR(AM67), 999, AM67))</f>
        <v>999</v>
      </c>
      <c r="AO67">
        <f t="shared" si="14"/>
        <v>0</v>
      </c>
      <c r="AP67">
        <f t="shared" si="2"/>
        <v>0</v>
      </c>
      <c r="AQ67">
        <f t="shared" si="3"/>
        <v>0</v>
      </c>
      <c r="AR67">
        <f t="shared" si="4"/>
        <v>0</v>
      </c>
      <c r="AS67">
        <f t="shared" si="5"/>
        <v>0</v>
      </c>
      <c r="AT67">
        <f t="shared" si="6"/>
        <v>0</v>
      </c>
      <c r="AU67">
        <f t="shared" si="7"/>
        <v>0</v>
      </c>
      <c r="AV67">
        <f t="shared" si="8"/>
        <v>0</v>
      </c>
    </row>
    <row r="68" spans="1:48" x14ac:dyDescent="0.45">
      <c r="A68" s="68"/>
      <c r="B68" s="234"/>
      <c r="C68" s="138"/>
      <c r="D68" s="139"/>
      <c r="E68" s="10"/>
      <c r="F68" s="10"/>
      <c r="G68" s="11"/>
      <c r="H68" s="12"/>
      <c r="I68" s="13"/>
      <c r="J68" s="14"/>
      <c r="K68" s="11"/>
      <c r="L68" s="12"/>
      <c r="M68" s="15"/>
      <c r="N68" s="16"/>
      <c r="O68" s="17"/>
      <c r="P68" s="15"/>
      <c r="Q68" s="16"/>
      <c r="R68" s="17"/>
      <c r="S68" s="15"/>
      <c r="T68" s="16"/>
      <c r="U68" s="17"/>
      <c r="V68" s="15"/>
      <c r="W68" s="16"/>
      <c r="X68" s="17"/>
      <c r="Y68" s="15"/>
      <c r="Z68" s="16"/>
      <c r="AA68" s="18"/>
      <c r="AB68" s="19"/>
      <c r="AC68" s="250"/>
      <c r="AE68" t="s">
        <v>110</v>
      </c>
      <c r="AI68">
        <f>_xlfn.IFNA(MATCH(Legends!$B$5, L68:AA68,0), 999)</f>
        <v>999</v>
      </c>
      <c r="AJ68">
        <f>_xlfn.IFNA(MATCH(Legends!$B$8, L68:AA68,0), 999)</f>
        <v>999</v>
      </c>
      <c r="AK68">
        <f>_xlfn.IFNA(MATCH(Legends!$B$9, L68:AA68,0), 999)</f>
        <v>999</v>
      </c>
      <c r="AL68">
        <f>_xlfn.IFNA(MATCH(Legends!$B$6, L68:AA68,0),999)</f>
        <v>999</v>
      </c>
      <c r="AM68">
        <f>_xlfn.IFNA(MATCH(Legends!$B$7, 'Advisor View'!L68:AA68, 0), 999)</f>
        <v>999</v>
      </c>
      <c r="AN68">
        <f t="shared" si="15"/>
        <v>999</v>
      </c>
      <c r="AO68">
        <f t="shared" si="14"/>
        <v>0</v>
      </c>
      <c r="AP68">
        <f t="shared" si="2"/>
        <v>0</v>
      </c>
      <c r="AQ68">
        <f t="shared" si="3"/>
        <v>0</v>
      </c>
      <c r="AR68">
        <f t="shared" si="4"/>
        <v>0</v>
      </c>
      <c r="AS68">
        <f t="shared" si="5"/>
        <v>0</v>
      </c>
      <c r="AT68">
        <f t="shared" si="6"/>
        <v>0</v>
      </c>
      <c r="AU68">
        <f t="shared" si="7"/>
        <v>0</v>
      </c>
      <c r="AV68">
        <f t="shared" si="8"/>
        <v>0</v>
      </c>
    </row>
    <row r="69" spans="1:48" x14ac:dyDescent="0.45">
      <c r="A69" s="68"/>
      <c r="B69" s="234"/>
      <c r="C69" s="136"/>
      <c r="D69" s="137"/>
      <c r="E69" s="21"/>
      <c r="F69" s="21"/>
      <c r="G69" s="22"/>
      <c r="H69" s="23"/>
      <c r="I69" s="24"/>
      <c r="J69" s="25"/>
      <c r="K69" s="22"/>
      <c r="L69" s="26"/>
      <c r="M69" s="27"/>
      <c r="N69" s="28"/>
      <c r="O69" s="29"/>
      <c r="P69" s="27"/>
      <c r="Q69" s="28"/>
      <c r="R69" s="29"/>
      <c r="S69" s="27"/>
      <c r="T69" s="28"/>
      <c r="U69" s="29"/>
      <c r="V69" s="27"/>
      <c r="W69" s="28"/>
      <c r="X69" s="29"/>
      <c r="Y69" s="27"/>
      <c r="Z69" s="28"/>
      <c r="AA69" s="30"/>
      <c r="AB69" s="31"/>
      <c r="AC69" s="250"/>
      <c r="AE69" t="s">
        <v>105</v>
      </c>
      <c r="AI69">
        <f>_xlfn.IFNA(MATCH(Legends!$B$5, L69:AA69,0), 999)</f>
        <v>999</v>
      </c>
      <c r="AJ69">
        <f>_xlfn.IFNA(MATCH(Legends!$B$8, L69:AA69,0), 999)</f>
        <v>999</v>
      </c>
      <c r="AK69">
        <f>_xlfn.IFNA(MATCH(Legends!$B$9, L69:AA69,0), 999)</f>
        <v>999</v>
      </c>
      <c r="AL69">
        <f>_xlfn.IFNA(MATCH(Legends!$B$6, L69:AA69,0),999)</f>
        <v>999</v>
      </c>
      <c r="AM69">
        <f>_xlfn.IFNA(MATCH(Legends!$B$7, 'Advisor View'!L69:AA69, 0), 999)</f>
        <v>999</v>
      </c>
      <c r="AN69">
        <f t="shared" si="15"/>
        <v>999</v>
      </c>
      <c r="AO69">
        <f t="shared" si="14"/>
        <v>0</v>
      </c>
      <c r="AP69">
        <f t="shared" si="2"/>
        <v>0</v>
      </c>
      <c r="AQ69">
        <f t="shared" si="3"/>
        <v>0</v>
      </c>
      <c r="AR69">
        <f t="shared" si="4"/>
        <v>0</v>
      </c>
      <c r="AS69">
        <f t="shared" si="5"/>
        <v>0</v>
      </c>
      <c r="AT69">
        <f t="shared" si="6"/>
        <v>0</v>
      </c>
      <c r="AU69">
        <f t="shared" si="7"/>
        <v>0</v>
      </c>
      <c r="AV69">
        <f t="shared" si="8"/>
        <v>0</v>
      </c>
    </row>
    <row r="70" spans="1:48" x14ac:dyDescent="0.45">
      <c r="A70" s="68"/>
      <c r="B70" s="234"/>
      <c r="C70" s="138"/>
      <c r="D70" s="139"/>
      <c r="E70" s="10"/>
      <c r="F70" s="10"/>
      <c r="G70" s="11"/>
      <c r="H70" s="12"/>
      <c r="I70" s="13"/>
      <c r="J70" s="14"/>
      <c r="K70" s="11"/>
      <c r="L70" s="12"/>
      <c r="M70" s="15"/>
      <c r="N70" s="16"/>
      <c r="O70" s="17"/>
      <c r="P70" s="15"/>
      <c r="Q70" s="16"/>
      <c r="R70" s="17"/>
      <c r="S70" s="15"/>
      <c r="T70" s="16"/>
      <c r="U70" s="17"/>
      <c r="V70" s="15"/>
      <c r="W70" s="16"/>
      <c r="X70" s="17"/>
      <c r="Y70" s="15"/>
      <c r="Z70" s="16"/>
      <c r="AA70" s="18"/>
      <c r="AB70" s="19"/>
      <c r="AC70" s="250"/>
      <c r="AE70" t="s">
        <v>111</v>
      </c>
      <c r="AI70">
        <f>_xlfn.IFNA(MATCH(Legends!$B$5, L70:AA70,0), 999)</f>
        <v>999</v>
      </c>
      <c r="AJ70">
        <f>_xlfn.IFNA(MATCH(Legends!$B$8, L70:AA70,0), 999)</f>
        <v>999</v>
      </c>
      <c r="AK70">
        <f>_xlfn.IFNA(MATCH(Legends!$B$9, L70:AA70,0), 999)</f>
        <v>999</v>
      </c>
      <c r="AL70">
        <f>_xlfn.IFNA(MATCH(Legends!$B$6, L70:AA70,0),999)</f>
        <v>999</v>
      </c>
      <c r="AM70">
        <f>_xlfn.IFNA(MATCH(Legends!$B$7, 'Advisor View'!L70:AA70, 0), 999)</f>
        <v>999</v>
      </c>
      <c r="AN70">
        <f t="shared" si="15"/>
        <v>999</v>
      </c>
      <c r="AO70">
        <f t="shared" si="14"/>
        <v>0</v>
      </c>
      <c r="AP70">
        <f t="shared" ref="AP70:AP86" si="16">COUNTIF(L70:AA70,"C")</f>
        <v>0</v>
      </c>
      <c r="AQ70">
        <f t="shared" ref="AQ70:AQ86" si="17">COUNTIF(L70:AA70,"IP")</f>
        <v>0</v>
      </c>
      <c r="AR70">
        <f t="shared" ref="AR70:AR86" si="18">COUNTIF(L70:AA70,"R")</f>
        <v>0</v>
      </c>
      <c r="AS70">
        <f t="shared" ref="AS70:AS86" si="19">COUNTIF(L70:AA70,"W")</f>
        <v>0</v>
      </c>
      <c r="AT70">
        <f t="shared" ref="AT70:AT86" si="20">COUNTIF(L70:AA70,"F")</f>
        <v>0</v>
      </c>
      <c r="AU70">
        <f t="shared" ref="AU70:AU86" si="21">SUM(AP70:AR70)</f>
        <v>0</v>
      </c>
      <c r="AV70">
        <f t="shared" ref="AV70:AV86" si="22">SUM(AS70:AT70)</f>
        <v>0</v>
      </c>
    </row>
    <row r="71" spans="1:48" x14ac:dyDescent="0.45">
      <c r="A71" s="68"/>
      <c r="B71" s="234"/>
      <c r="C71" s="136"/>
      <c r="D71" s="137"/>
      <c r="E71" s="21"/>
      <c r="F71" s="21"/>
      <c r="G71" s="22"/>
      <c r="H71" s="23"/>
      <c r="I71" s="24"/>
      <c r="J71" s="25"/>
      <c r="K71" s="22"/>
      <c r="L71" s="26"/>
      <c r="M71" s="27"/>
      <c r="N71" s="28"/>
      <c r="O71" s="29"/>
      <c r="P71" s="27"/>
      <c r="Q71" s="28"/>
      <c r="R71" s="29"/>
      <c r="S71" s="27"/>
      <c r="T71" s="28"/>
      <c r="U71" s="29"/>
      <c r="V71" s="27"/>
      <c r="W71" s="28"/>
      <c r="X71" s="29"/>
      <c r="Y71" s="27"/>
      <c r="Z71" s="28"/>
      <c r="AA71" s="30"/>
      <c r="AB71" s="31"/>
      <c r="AC71" s="250"/>
      <c r="AE71" t="s">
        <v>105</v>
      </c>
      <c r="AI71">
        <f>_xlfn.IFNA(MATCH(Legends!$B$5, L71:AA71,0), 999)</f>
        <v>999</v>
      </c>
      <c r="AJ71">
        <f>_xlfn.IFNA(MATCH(Legends!$B$8, L71:AA71,0), 999)</f>
        <v>999</v>
      </c>
      <c r="AK71">
        <f>_xlfn.IFNA(MATCH(Legends!$B$9, L71:AA71,0), 999)</f>
        <v>999</v>
      </c>
      <c r="AL71">
        <f>_xlfn.IFNA(MATCH(Legends!$B$6, L71:AA71,0),999)</f>
        <v>999</v>
      </c>
      <c r="AM71">
        <f>_xlfn.IFNA(MATCH(Legends!$B$7, 'Advisor View'!L71:AA71, 0), 999)</f>
        <v>999</v>
      </c>
      <c r="AN71">
        <f t="shared" si="15"/>
        <v>999</v>
      </c>
      <c r="AO71">
        <f t="shared" si="14"/>
        <v>0</v>
      </c>
      <c r="AP71">
        <f t="shared" si="16"/>
        <v>0</v>
      </c>
      <c r="AQ71">
        <f t="shared" si="17"/>
        <v>0</v>
      </c>
      <c r="AR71">
        <f t="shared" si="18"/>
        <v>0</v>
      </c>
      <c r="AS71">
        <f t="shared" si="19"/>
        <v>0</v>
      </c>
      <c r="AT71">
        <f t="shared" si="20"/>
        <v>0</v>
      </c>
      <c r="AU71">
        <f t="shared" si="21"/>
        <v>0</v>
      </c>
      <c r="AV71">
        <f t="shared" si="22"/>
        <v>0</v>
      </c>
    </row>
    <row r="72" spans="1:48" x14ac:dyDescent="0.45">
      <c r="A72" s="68"/>
      <c r="B72" s="234"/>
      <c r="C72" s="138"/>
      <c r="D72" s="139"/>
      <c r="E72" s="10"/>
      <c r="F72" s="10"/>
      <c r="G72" s="11"/>
      <c r="H72" s="12"/>
      <c r="I72" s="13"/>
      <c r="J72" s="14"/>
      <c r="K72" s="11"/>
      <c r="L72" s="12"/>
      <c r="M72" s="15"/>
      <c r="N72" s="16"/>
      <c r="O72" s="17"/>
      <c r="P72" s="15"/>
      <c r="Q72" s="16"/>
      <c r="R72" s="17"/>
      <c r="S72" s="15"/>
      <c r="T72" s="16"/>
      <c r="U72" s="17"/>
      <c r="V72" s="15"/>
      <c r="W72" s="16"/>
      <c r="X72" s="17"/>
      <c r="Y72" s="15"/>
      <c r="Z72" s="16"/>
      <c r="AA72" s="18"/>
      <c r="AB72" s="19"/>
      <c r="AC72" s="4" t="s">
        <v>29</v>
      </c>
      <c r="AE72" t="s">
        <v>111</v>
      </c>
      <c r="AI72">
        <f>_xlfn.IFNA(MATCH(Legends!$B$5, L72:AA72,0), 999)</f>
        <v>999</v>
      </c>
      <c r="AJ72">
        <f>_xlfn.IFNA(MATCH(Legends!$B$8, L72:AA72,0), 999)</f>
        <v>999</v>
      </c>
      <c r="AK72">
        <f>_xlfn.IFNA(MATCH(Legends!$B$9, L72:AA72,0), 999)</f>
        <v>999</v>
      </c>
      <c r="AL72">
        <f>_xlfn.IFNA(MATCH(Legends!$B$6, L72:AA72,0),999)</f>
        <v>999</v>
      </c>
      <c r="AM72">
        <f>_xlfn.IFNA(MATCH(Legends!$B$7, 'Advisor View'!L72:AA72, 0), 999)</f>
        <v>999</v>
      </c>
      <c r="AN72">
        <f t="shared" si="15"/>
        <v>999</v>
      </c>
      <c r="AO72">
        <f t="shared" si="14"/>
        <v>0</v>
      </c>
      <c r="AP72">
        <f t="shared" si="16"/>
        <v>0</v>
      </c>
      <c r="AQ72">
        <f t="shared" si="17"/>
        <v>0</v>
      </c>
      <c r="AR72">
        <f t="shared" si="18"/>
        <v>0</v>
      </c>
      <c r="AS72">
        <f t="shared" si="19"/>
        <v>0</v>
      </c>
      <c r="AT72">
        <f t="shared" si="20"/>
        <v>0</v>
      </c>
      <c r="AU72">
        <f t="shared" si="21"/>
        <v>0</v>
      </c>
      <c r="AV72">
        <f t="shared" si="22"/>
        <v>0</v>
      </c>
    </row>
    <row r="73" spans="1:48" x14ac:dyDescent="0.45">
      <c r="A73" s="68"/>
      <c r="B73" s="234"/>
      <c r="C73" s="20"/>
      <c r="D73" s="21"/>
      <c r="E73" s="21"/>
      <c r="F73" s="21"/>
      <c r="G73" s="22"/>
      <c r="H73" s="23"/>
      <c r="I73" s="24"/>
      <c r="J73" s="25"/>
      <c r="K73" s="22"/>
      <c r="L73" s="26"/>
      <c r="M73" s="27"/>
      <c r="N73" s="28"/>
      <c r="O73" s="29"/>
      <c r="P73" s="27"/>
      <c r="Q73" s="28"/>
      <c r="R73" s="29"/>
      <c r="S73" s="27"/>
      <c r="T73" s="28"/>
      <c r="U73" s="29"/>
      <c r="V73" s="27"/>
      <c r="W73" s="28"/>
      <c r="X73" s="29"/>
      <c r="Y73" s="27"/>
      <c r="Z73" s="28"/>
      <c r="AA73" s="30"/>
      <c r="AB73" s="31"/>
      <c r="AC73" s="4"/>
      <c r="AI73">
        <f>_xlfn.IFNA(MATCH(Legends!$B$5, L73:AA73,0), 999)</f>
        <v>999</v>
      </c>
      <c r="AJ73">
        <f>_xlfn.IFNA(MATCH(Legends!$B$8, L73:AA73,0), 999)</f>
        <v>999</v>
      </c>
      <c r="AK73">
        <f>_xlfn.IFNA(MATCH(Legends!$B$9, L73:AA73,0), 999)</f>
        <v>999</v>
      </c>
      <c r="AL73">
        <f>_xlfn.IFNA(MATCH(Legends!$B$6, L73:AA73,0),999)</f>
        <v>999</v>
      </c>
      <c r="AM73">
        <f>_xlfn.IFNA(MATCH(Legends!$B$7, 'Advisor View'!L73:AA73, 0), 999)</f>
        <v>999</v>
      </c>
      <c r="AN73">
        <f t="shared" si="15"/>
        <v>999</v>
      </c>
      <c r="AO73">
        <f t="shared" si="14"/>
        <v>0</v>
      </c>
      <c r="AP73">
        <f t="shared" si="16"/>
        <v>0</v>
      </c>
      <c r="AQ73">
        <f t="shared" si="17"/>
        <v>0</v>
      </c>
      <c r="AR73">
        <f t="shared" si="18"/>
        <v>0</v>
      </c>
      <c r="AS73">
        <f t="shared" si="19"/>
        <v>0</v>
      </c>
      <c r="AT73">
        <f t="shared" si="20"/>
        <v>0</v>
      </c>
      <c r="AU73">
        <f t="shared" si="21"/>
        <v>0</v>
      </c>
      <c r="AV73">
        <f t="shared" si="22"/>
        <v>0</v>
      </c>
    </row>
    <row r="74" spans="1:48" x14ac:dyDescent="0.45">
      <c r="A74" s="68"/>
      <c r="B74" s="234"/>
      <c r="C74" s="9"/>
      <c r="D74" s="10"/>
      <c r="E74" s="10"/>
      <c r="F74" s="10"/>
      <c r="G74" s="11"/>
      <c r="H74" s="12"/>
      <c r="I74" s="13"/>
      <c r="J74" s="14"/>
      <c r="K74" s="11"/>
      <c r="L74" s="12"/>
      <c r="M74" s="15"/>
      <c r="N74" s="16"/>
      <c r="O74" s="17"/>
      <c r="P74" s="15"/>
      <c r="Q74" s="16"/>
      <c r="R74" s="17"/>
      <c r="S74" s="15"/>
      <c r="T74" s="16"/>
      <c r="U74" s="17"/>
      <c r="V74" s="15"/>
      <c r="W74" s="16"/>
      <c r="X74" s="17"/>
      <c r="Y74" s="15"/>
      <c r="Z74" s="16"/>
      <c r="AA74" s="18"/>
      <c r="AB74" s="19"/>
      <c r="AC74" s="4"/>
      <c r="AI74">
        <f>_xlfn.IFNA(MATCH(Legends!$B$5, L74:AA74,0), 999)</f>
        <v>999</v>
      </c>
      <c r="AJ74">
        <f>_xlfn.IFNA(MATCH(Legends!$B$8, L74:AA74,0), 999)</f>
        <v>999</v>
      </c>
      <c r="AK74">
        <f>_xlfn.IFNA(MATCH(Legends!$B$9, L74:AA74,0), 999)</f>
        <v>999</v>
      </c>
      <c r="AL74">
        <f>_xlfn.IFNA(MATCH(Legends!$B$6, L74:AA74,0),999)</f>
        <v>999</v>
      </c>
      <c r="AM74">
        <f>_xlfn.IFNA(MATCH(Legends!$B$7, 'Advisor View'!L74:AA74, 0), 999)</f>
        <v>999</v>
      </c>
      <c r="AN74">
        <f t="shared" si="15"/>
        <v>999</v>
      </c>
      <c r="AO74">
        <f t="shared" si="14"/>
        <v>0</v>
      </c>
      <c r="AP74">
        <f t="shared" si="16"/>
        <v>0</v>
      </c>
      <c r="AQ74">
        <f t="shared" si="17"/>
        <v>0</v>
      </c>
      <c r="AR74">
        <f t="shared" si="18"/>
        <v>0</v>
      </c>
      <c r="AS74">
        <f t="shared" si="19"/>
        <v>0</v>
      </c>
      <c r="AT74">
        <f t="shared" si="20"/>
        <v>0</v>
      </c>
      <c r="AU74">
        <f t="shared" si="21"/>
        <v>0</v>
      </c>
      <c r="AV74">
        <f t="shared" si="22"/>
        <v>0</v>
      </c>
    </row>
    <row r="75" spans="1:48" x14ac:dyDescent="0.45">
      <c r="A75" s="68"/>
      <c r="B75" s="234"/>
      <c r="C75" s="20"/>
      <c r="D75" s="21"/>
      <c r="E75" s="21"/>
      <c r="F75" s="21"/>
      <c r="G75" s="22"/>
      <c r="H75" s="23"/>
      <c r="I75" s="24"/>
      <c r="J75" s="25"/>
      <c r="K75" s="22" t="s">
        <v>4</v>
      </c>
      <c r="L75" s="26"/>
      <c r="M75" s="27"/>
      <c r="N75" s="28"/>
      <c r="O75" s="29"/>
      <c r="P75" s="27"/>
      <c r="Q75" s="28"/>
      <c r="R75" s="29"/>
      <c r="S75" s="27"/>
      <c r="T75" s="28"/>
      <c r="U75" s="29"/>
      <c r="V75" s="27"/>
      <c r="W75" s="28"/>
      <c r="X75" s="29"/>
      <c r="Y75" s="27"/>
      <c r="Z75" s="28"/>
      <c r="AA75" s="30"/>
      <c r="AB75" s="31"/>
      <c r="AC75" s="250">
        <f>SUM(G66:G76)</f>
        <v>0</v>
      </c>
      <c r="AI75">
        <f>_xlfn.IFNA(MATCH(Legends!$B$5, L75:AA75,0), 999)</f>
        <v>999</v>
      </c>
      <c r="AJ75">
        <f>_xlfn.IFNA(MATCH(Legends!$B$8, L75:AA75,0), 999)</f>
        <v>999</v>
      </c>
      <c r="AK75">
        <f>_xlfn.IFNA(MATCH(Legends!$B$9, L75:AA75,0), 999)</f>
        <v>999</v>
      </c>
      <c r="AL75">
        <f>_xlfn.IFNA(MATCH(Legends!$B$6, L75:AA75,0),999)</f>
        <v>999</v>
      </c>
      <c r="AM75">
        <f>_xlfn.IFNA(MATCH(Legends!$B$7, 'Advisor View'!L75:AA75, 0), 999)</f>
        <v>999</v>
      </c>
      <c r="AN75">
        <f t="shared" si="15"/>
        <v>999</v>
      </c>
      <c r="AO75">
        <f t="shared" si="14"/>
        <v>0</v>
      </c>
      <c r="AP75">
        <f t="shared" si="16"/>
        <v>0</v>
      </c>
      <c r="AQ75">
        <f t="shared" si="17"/>
        <v>0</v>
      </c>
      <c r="AR75">
        <f t="shared" si="18"/>
        <v>0</v>
      </c>
      <c r="AS75">
        <f t="shared" si="19"/>
        <v>0</v>
      </c>
      <c r="AT75">
        <f t="shared" si="20"/>
        <v>0</v>
      </c>
      <c r="AU75">
        <f t="shared" si="21"/>
        <v>0</v>
      </c>
      <c r="AV75">
        <f t="shared" si="22"/>
        <v>0</v>
      </c>
    </row>
    <row r="76" spans="1:48" ht="14.65" thickBot="1" x14ac:dyDescent="0.5">
      <c r="A76" s="68"/>
      <c r="B76" s="234"/>
      <c r="C76" s="9"/>
      <c r="D76" s="10"/>
      <c r="E76" s="10"/>
      <c r="F76" s="10"/>
      <c r="G76" s="11"/>
      <c r="H76" s="12"/>
      <c r="I76" s="13"/>
      <c r="J76" s="14"/>
      <c r="K76" s="11" t="s">
        <v>4</v>
      </c>
      <c r="L76" s="12"/>
      <c r="M76" s="15"/>
      <c r="N76" s="16"/>
      <c r="O76" s="17"/>
      <c r="P76" s="15"/>
      <c r="Q76" s="16"/>
      <c r="R76" s="17"/>
      <c r="S76" s="15"/>
      <c r="T76" s="16"/>
      <c r="U76" s="17"/>
      <c r="V76" s="15"/>
      <c r="W76" s="16"/>
      <c r="X76" s="17"/>
      <c r="Y76" s="15"/>
      <c r="Z76" s="16"/>
      <c r="AA76" s="18"/>
      <c r="AB76" s="19"/>
      <c r="AC76" s="250"/>
      <c r="AI76">
        <f>_xlfn.IFNA(MATCH(Legends!$B$5, L76:AA76,0), 999)</f>
        <v>999</v>
      </c>
      <c r="AJ76">
        <f>_xlfn.IFNA(MATCH(Legends!$B$8, L76:AA76,0), 999)</f>
        <v>999</v>
      </c>
      <c r="AK76">
        <f>_xlfn.IFNA(MATCH(Legends!$B$9, L76:AA76,0), 999)</f>
        <v>999</v>
      </c>
      <c r="AL76">
        <f>_xlfn.IFNA(MATCH(Legends!$B$6, L76:AA76,0),999)</f>
        <v>999</v>
      </c>
      <c r="AM76">
        <f>_xlfn.IFNA(MATCH(Legends!$B$7, 'Advisor View'!L76:AA76, 0), 999)</f>
        <v>999</v>
      </c>
      <c r="AN76">
        <f t="shared" si="15"/>
        <v>999</v>
      </c>
      <c r="AO76">
        <f t="shared" si="14"/>
        <v>0</v>
      </c>
      <c r="AP76">
        <f t="shared" si="16"/>
        <v>0</v>
      </c>
      <c r="AQ76">
        <f t="shared" si="17"/>
        <v>0</v>
      </c>
      <c r="AR76">
        <f t="shared" si="18"/>
        <v>0</v>
      </c>
      <c r="AS76">
        <f t="shared" si="19"/>
        <v>0</v>
      </c>
      <c r="AT76">
        <f t="shared" si="20"/>
        <v>0</v>
      </c>
      <c r="AU76">
        <f t="shared" si="21"/>
        <v>0</v>
      </c>
      <c r="AV76">
        <f t="shared" si="22"/>
        <v>0</v>
      </c>
    </row>
    <row r="77" spans="1:48" ht="15" customHeight="1" x14ac:dyDescent="0.45">
      <c r="A77" s="206" t="s">
        <v>34</v>
      </c>
      <c r="B77" s="209"/>
      <c r="C77" s="218" t="s">
        <v>0</v>
      </c>
      <c r="D77" s="215" t="s">
        <v>44</v>
      </c>
      <c r="E77" s="216"/>
      <c r="F77" s="216"/>
      <c r="G77" s="217"/>
      <c r="H77" s="211" t="s">
        <v>7</v>
      </c>
      <c r="I77" s="211"/>
      <c r="J77" s="211" t="s">
        <v>8</v>
      </c>
      <c r="K77" s="211"/>
      <c r="L77" s="212" t="s">
        <v>22</v>
      </c>
      <c r="M77" s="211" t="str">
        <f>CONCATENATE(('Student Profile'!$C$8+0), " - ", ('Student Profile'!$C$8+1))</f>
        <v>2025 - 2026</v>
      </c>
      <c r="N77" s="211"/>
      <c r="O77" s="211"/>
      <c r="P77" s="211" t="str">
        <f>CONCATENATE(('Student Profile'!$C$8+1), " - ", ('Student Profile'!$C$8+2))</f>
        <v>2026 - 2027</v>
      </c>
      <c r="Q77" s="211"/>
      <c r="R77" s="211"/>
      <c r="S77" s="211" t="str">
        <f>CONCATENATE(('Student Profile'!$C$8+2), " - ", ('Student Profile'!$C$8+3))</f>
        <v>2027 - 2028</v>
      </c>
      <c r="T77" s="211"/>
      <c r="U77" s="211"/>
      <c r="V77" s="211" t="str">
        <f>CONCATENATE(('Student Profile'!$C$8+3), " - ", ('Student Profile'!$C$8+4))</f>
        <v>2028 - 2029</v>
      </c>
      <c r="W77" s="211"/>
      <c r="X77" s="211"/>
      <c r="Y77" s="211" t="str">
        <f>CONCATENATE(('Student Profile'!$C$8+4), " - ", ('Student Profile'!$C$8+5))</f>
        <v>2029 - 2030</v>
      </c>
      <c r="Z77" s="211"/>
      <c r="AA77" s="211"/>
      <c r="AB77" s="252" t="s">
        <v>21</v>
      </c>
      <c r="AC77" s="248" t="s">
        <v>28</v>
      </c>
      <c r="AI77" s="98">
        <v>999</v>
      </c>
      <c r="AJ77" s="98">
        <v>999</v>
      </c>
      <c r="AK77" s="98">
        <v>999</v>
      </c>
      <c r="AL77" s="98">
        <v>999</v>
      </c>
      <c r="AM77" s="98">
        <v>999</v>
      </c>
    </row>
    <row r="78" spans="1:48" ht="14.65" thickBot="1" x14ac:dyDescent="0.5">
      <c r="A78" s="207"/>
      <c r="B78" s="210"/>
      <c r="C78" s="219"/>
      <c r="D78" s="132" t="s">
        <v>1</v>
      </c>
      <c r="E78" s="132" t="s">
        <v>9</v>
      </c>
      <c r="F78" s="132" t="s">
        <v>10</v>
      </c>
      <c r="G78" s="124" t="s">
        <v>2</v>
      </c>
      <c r="H78" s="124">
        <v>1</v>
      </c>
      <c r="I78" s="124">
        <v>2</v>
      </c>
      <c r="J78" s="124">
        <v>1</v>
      </c>
      <c r="K78" s="124">
        <v>2</v>
      </c>
      <c r="L78" s="213"/>
      <c r="M78" s="124" t="s">
        <v>9</v>
      </c>
      <c r="N78" s="124" t="s">
        <v>10</v>
      </c>
      <c r="O78" s="133" t="s">
        <v>11</v>
      </c>
      <c r="P78" s="124" t="s">
        <v>9</v>
      </c>
      <c r="Q78" s="124" t="s">
        <v>10</v>
      </c>
      <c r="R78" s="133" t="s">
        <v>11</v>
      </c>
      <c r="S78" s="124" t="s">
        <v>9</v>
      </c>
      <c r="T78" s="124" t="s">
        <v>10</v>
      </c>
      <c r="U78" s="133" t="s">
        <v>11</v>
      </c>
      <c r="V78" s="124" t="s">
        <v>9</v>
      </c>
      <c r="W78" s="124" t="s">
        <v>10</v>
      </c>
      <c r="X78" s="133" t="s">
        <v>11</v>
      </c>
      <c r="Y78" s="124" t="s">
        <v>9</v>
      </c>
      <c r="Z78" s="124" t="s">
        <v>10</v>
      </c>
      <c r="AA78" s="133" t="s">
        <v>11</v>
      </c>
      <c r="AB78" s="253"/>
      <c r="AC78" s="249"/>
      <c r="AI78" s="98">
        <v>999</v>
      </c>
      <c r="AJ78" s="98">
        <v>999</v>
      </c>
      <c r="AK78" s="98">
        <v>999</v>
      </c>
      <c r="AL78" s="98">
        <v>999</v>
      </c>
      <c r="AM78" s="98">
        <v>999</v>
      </c>
    </row>
    <row r="79" spans="1:48" x14ac:dyDescent="0.45">
      <c r="A79" s="207"/>
      <c r="B79" s="233" t="s">
        <v>26</v>
      </c>
      <c r="C79" s="10"/>
      <c r="D79" s="10"/>
      <c r="E79" s="10"/>
      <c r="F79" s="10"/>
      <c r="G79" s="10"/>
      <c r="H79" s="13"/>
      <c r="I79" s="13"/>
      <c r="J79" s="13"/>
      <c r="K79" s="13"/>
      <c r="L79" s="12"/>
      <c r="M79" s="15"/>
      <c r="N79" s="32"/>
      <c r="O79" s="17"/>
      <c r="P79" s="15"/>
      <c r="Q79" s="32"/>
      <c r="R79" s="17"/>
      <c r="S79" s="15"/>
      <c r="T79" s="32"/>
      <c r="U79" s="17"/>
      <c r="V79" s="15"/>
      <c r="W79" s="32"/>
      <c r="X79" s="17"/>
      <c r="Y79" s="15"/>
      <c r="Z79" s="32"/>
      <c r="AA79" s="18"/>
      <c r="AB79" s="19"/>
      <c r="AC79" s="250">
        <f>SUM(AO79:AO86)</f>
        <v>0</v>
      </c>
      <c r="AI79">
        <f>_xlfn.IFNA(MATCH(Legends!$B$5, L79:AA79,0), 999)</f>
        <v>999</v>
      </c>
      <c r="AJ79">
        <f>_xlfn.IFNA(MATCH(Legends!$B$8, L79:AA79,0), 999)</f>
        <v>999</v>
      </c>
      <c r="AK79">
        <f>_xlfn.IFNA(MATCH(Legends!$B$9, L79:AA79,0), 999)</f>
        <v>999</v>
      </c>
      <c r="AL79">
        <f>_xlfn.IFNA(MATCH(Legends!$B$6, L79:AA79,0),999)</f>
        <v>999</v>
      </c>
      <c r="AM79">
        <f>_xlfn.IFNA(MATCH(Legends!$B$7, 'Advisor View'!L79:AA79, 0), 999)</f>
        <v>999</v>
      </c>
      <c r="AN79">
        <f t="shared" si="1"/>
        <v>999</v>
      </c>
      <c r="AO79">
        <f t="shared" ref="AO79:AO86" si="23">IF(AN79&lt;999,G79,0)</f>
        <v>0</v>
      </c>
      <c r="AP79">
        <f t="shared" si="16"/>
        <v>0</v>
      </c>
      <c r="AQ79">
        <f t="shared" si="17"/>
        <v>0</v>
      </c>
      <c r="AR79">
        <f t="shared" si="18"/>
        <v>0</v>
      </c>
      <c r="AS79">
        <f t="shared" si="19"/>
        <v>0</v>
      </c>
      <c r="AT79">
        <f t="shared" si="20"/>
        <v>0</v>
      </c>
      <c r="AU79">
        <f t="shared" si="21"/>
        <v>0</v>
      </c>
      <c r="AV79">
        <f t="shared" si="22"/>
        <v>0</v>
      </c>
    </row>
    <row r="80" spans="1:48" x14ac:dyDescent="0.45">
      <c r="A80" s="207"/>
      <c r="B80" s="234"/>
      <c r="C80" s="21"/>
      <c r="D80" s="21"/>
      <c r="E80" s="21"/>
      <c r="F80" s="21"/>
      <c r="G80" s="21"/>
      <c r="H80" s="24"/>
      <c r="I80" s="24"/>
      <c r="J80" s="24"/>
      <c r="K80" s="24"/>
      <c r="L80" s="23"/>
      <c r="M80" s="27"/>
      <c r="N80" s="33"/>
      <c r="O80" s="29"/>
      <c r="P80" s="27"/>
      <c r="Q80" s="33"/>
      <c r="R80" s="29"/>
      <c r="S80" s="27"/>
      <c r="T80" s="33"/>
      <c r="U80" s="29"/>
      <c r="V80" s="27"/>
      <c r="W80" s="33"/>
      <c r="X80" s="29"/>
      <c r="Y80" s="27"/>
      <c r="Z80" s="33"/>
      <c r="AA80" s="30"/>
      <c r="AB80" s="31"/>
      <c r="AC80" s="250"/>
      <c r="AI80">
        <f>_xlfn.IFNA(MATCH(Legends!$B$5, L80:AA80,0), 999)</f>
        <v>999</v>
      </c>
      <c r="AJ80">
        <f>_xlfn.IFNA(MATCH(Legends!$B$8, L80:AA80,0), 999)</f>
        <v>999</v>
      </c>
      <c r="AK80">
        <f>_xlfn.IFNA(MATCH(Legends!$B$9, L80:AA80,0), 999)</f>
        <v>999</v>
      </c>
      <c r="AL80">
        <f>_xlfn.IFNA(MATCH(Legends!$B$6, L80:AA80,0),999)</f>
        <v>999</v>
      </c>
      <c r="AM80">
        <f>_xlfn.IFNA(MATCH(Legends!$B$7, 'Advisor View'!L80:AA80, 0), 999)</f>
        <v>999</v>
      </c>
      <c r="AN80">
        <f t="shared" ref="AN80:AN86" si="24">MIN(IF(ISERROR(AI80), 999, AI80), IF(ISERROR(AL80), 999, AL80), IF(ISERROR(AM80), 999, AM80))</f>
        <v>999</v>
      </c>
      <c r="AO80">
        <f t="shared" si="23"/>
        <v>0</v>
      </c>
      <c r="AP80">
        <f t="shared" si="16"/>
        <v>0</v>
      </c>
      <c r="AQ80">
        <f t="shared" si="17"/>
        <v>0</v>
      </c>
      <c r="AR80">
        <f t="shared" si="18"/>
        <v>0</v>
      </c>
      <c r="AS80">
        <f t="shared" si="19"/>
        <v>0</v>
      </c>
      <c r="AT80">
        <f t="shared" si="20"/>
        <v>0</v>
      </c>
      <c r="AU80">
        <f t="shared" si="21"/>
        <v>0</v>
      </c>
      <c r="AV80">
        <f t="shared" si="22"/>
        <v>0</v>
      </c>
    </row>
    <row r="81" spans="1:48" x14ac:dyDescent="0.45">
      <c r="A81" s="207"/>
      <c r="B81" s="234"/>
      <c r="C81" s="139"/>
      <c r="D81" s="139"/>
      <c r="E81" s="10"/>
      <c r="F81" s="10"/>
      <c r="G81" s="10"/>
      <c r="H81" s="13"/>
      <c r="I81" s="13"/>
      <c r="J81" s="13"/>
      <c r="K81" s="13"/>
      <c r="L81" s="12"/>
      <c r="M81" s="15"/>
      <c r="N81" s="32"/>
      <c r="O81" s="17"/>
      <c r="P81" s="15"/>
      <c r="Q81" s="32"/>
      <c r="R81" s="17"/>
      <c r="S81" s="15"/>
      <c r="T81" s="32"/>
      <c r="U81" s="17"/>
      <c r="V81" s="15"/>
      <c r="W81" s="32"/>
      <c r="X81" s="17"/>
      <c r="Y81" s="15"/>
      <c r="Z81" s="32"/>
      <c r="AA81" s="18"/>
      <c r="AB81" s="19"/>
      <c r="AC81" s="250"/>
      <c r="AE81" t="s">
        <v>112</v>
      </c>
      <c r="AI81">
        <f>_xlfn.IFNA(MATCH(Legends!$B$5, L81:AA81,0), 999)</f>
        <v>999</v>
      </c>
      <c r="AJ81">
        <f>_xlfn.IFNA(MATCH(Legends!$B$8, L81:AA81,0), 999)</f>
        <v>999</v>
      </c>
      <c r="AK81">
        <f>_xlfn.IFNA(MATCH(Legends!$B$9, L81:AA81,0), 999)</f>
        <v>999</v>
      </c>
      <c r="AL81">
        <f>_xlfn.IFNA(MATCH(Legends!$B$6, L81:AA81,0),999)</f>
        <v>999</v>
      </c>
      <c r="AM81">
        <f>_xlfn.IFNA(MATCH(Legends!$B$7, 'Advisor View'!L81:AA81, 0), 999)</f>
        <v>999</v>
      </c>
      <c r="AN81">
        <f t="shared" si="24"/>
        <v>999</v>
      </c>
      <c r="AO81">
        <f t="shared" si="23"/>
        <v>0</v>
      </c>
      <c r="AP81">
        <f t="shared" si="16"/>
        <v>0</v>
      </c>
      <c r="AQ81">
        <f t="shared" si="17"/>
        <v>0</v>
      </c>
      <c r="AR81">
        <f t="shared" si="18"/>
        <v>0</v>
      </c>
      <c r="AS81">
        <f t="shared" si="19"/>
        <v>0</v>
      </c>
      <c r="AT81">
        <f t="shared" si="20"/>
        <v>0</v>
      </c>
      <c r="AU81">
        <f t="shared" si="21"/>
        <v>0</v>
      </c>
      <c r="AV81">
        <f t="shared" si="22"/>
        <v>0</v>
      </c>
    </row>
    <row r="82" spans="1:48" x14ac:dyDescent="0.45">
      <c r="A82" s="207"/>
      <c r="B82" s="234"/>
      <c r="C82" s="21"/>
      <c r="D82" s="21"/>
      <c r="E82" s="21"/>
      <c r="F82" s="21"/>
      <c r="G82" s="21"/>
      <c r="H82" s="24"/>
      <c r="I82" s="24"/>
      <c r="J82" s="24"/>
      <c r="K82" s="24"/>
      <c r="L82" s="23"/>
      <c r="M82" s="27"/>
      <c r="N82" s="33"/>
      <c r="O82" s="29"/>
      <c r="P82" s="27"/>
      <c r="Q82" s="33"/>
      <c r="R82" s="29"/>
      <c r="S82" s="27"/>
      <c r="T82" s="33"/>
      <c r="U82" s="29"/>
      <c r="V82" s="27"/>
      <c r="W82" s="33"/>
      <c r="X82" s="29"/>
      <c r="Y82" s="27"/>
      <c r="Z82" s="33"/>
      <c r="AA82" s="30"/>
      <c r="AB82" s="31"/>
      <c r="AC82" s="250"/>
      <c r="AI82">
        <f>_xlfn.IFNA(MATCH(Legends!$B$5, L82:AA82,0), 999)</f>
        <v>999</v>
      </c>
      <c r="AJ82">
        <f>_xlfn.IFNA(MATCH(Legends!$B$8, L82:AA82,0), 999)</f>
        <v>999</v>
      </c>
      <c r="AK82">
        <f>_xlfn.IFNA(MATCH(Legends!$B$9, L82:AA82,0), 999)</f>
        <v>999</v>
      </c>
      <c r="AL82">
        <f>_xlfn.IFNA(MATCH(Legends!$B$6, L82:AA82,0),999)</f>
        <v>999</v>
      </c>
      <c r="AM82">
        <f>_xlfn.IFNA(MATCH(Legends!$B$7, 'Advisor View'!L82:AA82, 0), 999)</f>
        <v>999</v>
      </c>
      <c r="AN82">
        <f t="shared" si="24"/>
        <v>999</v>
      </c>
      <c r="AO82">
        <f t="shared" si="23"/>
        <v>0</v>
      </c>
      <c r="AP82">
        <f t="shared" si="16"/>
        <v>0</v>
      </c>
      <c r="AQ82">
        <f t="shared" si="17"/>
        <v>0</v>
      </c>
      <c r="AR82">
        <f t="shared" si="18"/>
        <v>0</v>
      </c>
      <c r="AS82">
        <f t="shared" si="19"/>
        <v>0</v>
      </c>
      <c r="AT82">
        <f t="shared" si="20"/>
        <v>0</v>
      </c>
      <c r="AU82">
        <f t="shared" si="21"/>
        <v>0</v>
      </c>
      <c r="AV82">
        <f t="shared" si="22"/>
        <v>0</v>
      </c>
    </row>
    <row r="83" spans="1:48" x14ac:dyDescent="0.45">
      <c r="A83" s="207"/>
      <c r="B83" s="234"/>
      <c r="C83" s="10"/>
      <c r="D83" s="10"/>
      <c r="E83" s="10"/>
      <c r="F83" s="10"/>
      <c r="G83" s="10"/>
      <c r="H83" s="13"/>
      <c r="I83" s="13"/>
      <c r="J83" s="13"/>
      <c r="K83" s="13"/>
      <c r="L83" s="12"/>
      <c r="M83" s="15"/>
      <c r="N83" s="32"/>
      <c r="O83" s="17"/>
      <c r="P83" s="15"/>
      <c r="Q83" s="32"/>
      <c r="R83" s="17"/>
      <c r="S83" s="15"/>
      <c r="T83" s="32"/>
      <c r="U83" s="17"/>
      <c r="V83" s="15"/>
      <c r="W83" s="32"/>
      <c r="X83" s="17"/>
      <c r="Y83" s="15"/>
      <c r="Z83" s="32"/>
      <c r="AA83" s="18"/>
      <c r="AB83" s="19"/>
      <c r="AC83" s="250"/>
      <c r="AI83">
        <f>_xlfn.IFNA(MATCH(Legends!$B$5, L83:AA83,0), 999)</f>
        <v>999</v>
      </c>
      <c r="AJ83">
        <f>_xlfn.IFNA(MATCH(Legends!$B$8, L83:AA83,0), 999)</f>
        <v>999</v>
      </c>
      <c r="AK83">
        <f>_xlfn.IFNA(MATCH(Legends!$B$9, L83:AA83,0), 999)</f>
        <v>999</v>
      </c>
      <c r="AL83">
        <f>_xlfn.IFNA(MATCH(Legends!$B$6, L83:AA83,0),999)</f>
        <v>999</v>
      </c>
      <c r="AM83">
        <f>_xlfn.IFNA(MATCH(Legends!$B$7, 'Advisor View'!L83:AA83, 0), 999)</f>
        <v>999</v>
      </c>
      <c r="AN83">
        <f t="shared" si="24"/>
        <v>999</v>
      </c>
      <c r="AO83">
        <f t="shared" si="23"/>
        <v>0</v>
      </c>
      <c r="AP83">
        <f t="shared" si="16"/>
        <v>0</v>
      </c>
      <c r="AQ83">
        <f t="shared" si="17"/>
        <v>0</v>
      </c>
      <c r="AR83">
        <f t="shared" si="18"/>
        <v>0</v>
      </c>
      <c r="AS83">
        <f t="shared" si="19"/>
        <v>0</v>
      </c>
      <c r="AT83">
        <f t="shared" si="20"/>
        <v>0</v>
      </c>
      <c r="AU83">
        <f t="shared" si="21"/>
        <v>0</v>
      </c>
      <c r="AV83">
        <f t="shared" si="22"/>
        <v>0</v>
      </c>
    </row>
    <row r="84" spans="1:48" x14ac:dyDescent="0.45">
      <c r="A84" s="207"/>
      <c r="B84" s="234"/>
      <c r="C84" s="21"/>
      <c r="D84" s="21"/>
      <c r="E84" s="21"/>
      <c r="F84" s="21"/>
      <c r="G84" s="21"/>
      <c r="H84" s="24"/>
      <c r="I84" s="24"/>
      <c r="J84" s="24"/>
      <c r="K84" s="24"/>
      <c r="L84" s="23"/>
      <c r="M84" s="27"/>
      <c r="N84" s="33"/>
      <c r="O84" s="29"/>
      <c r="P84" s="27"/>
      <c r="Q84" s="33"/>
      <c r="R84" s="29"/>
      <c r="S84" s="27"/>
      <c r="T84" s="33"/>
      <c r="U84" s="29"/>
      <c r="V84" s="27"/>
      <c r="W84" s="33"/>
      <c r="X84" s="29"/>
      <c r="Y84" s="27"/>
      <c r="Z84" s="33"/>
      <c r="AA84" s="30"/>
      <c r="AB84" s="31"/>
      <c r="AC84" s="4" t="s">
        <v>29</v>
      </c>
      <c r="AI84">
        <f>_xlfn.IFNA(MATCH(Legends!$B$5, L84:AA84,0), 999)</f>
        <v>999</v>
      </c>
      <c r="AJ84">
        <f>_xlfn.IFNA(MATCH(Legends!$B$8, L84:AA84,0), 999)</f>
        <v>999</v>
      </c>
      <c r="AK84">
        <f>_xlfn.IFNA(MATCH(Legends!$B$9, L84:AA84,0), 999)</f>
        <v>999</v>
      </c>
      <c r="AL84">
        <f>_xlfn.IFNA(MATCH(Legends!$B$6, L84:AA84,0),999)</f>
        <v>999</v>
      </c>
      <c r="AM84">
        <f>_xlfn.IFNA(MATCH(Legends!$B$7, 'Advisor View'!L84:AA84, 0), 999)</f>
        <v>999</v>
      </c>
      <c r="AN84">
        <f t="shared" si="24"/>
        <v>999</v>
      </c>
      <c r="AO84">
        <f t="shared" si="23"/>
        <v>0</v>
      </c>
      <c r="AP84">
        <f t="shared" si="16"/>
        <v>0</v>
      </c>
      <c r="AQ84">
        <f t="shared" si="17"/>
        <v>0</v>
      </c>
      <c r="AR84">
        <f t="shared" si="18"/>
        <v>0</v>
      </c>
      <c r="AS84">
        <f t="shared" si="19"/>
        <v>0</v>
      </c>
      <c r="AT84">
        <f t="shared" si="20"/>
        <v>0</v>
      </c>
      <c r="AU84">
        <f t="shared" si="21"/>
        <v>0</v>
      </c>
      <c r="AV84">
        <f t="shared" si="22"/>
        <v>0</v>
      </c>
    </row>
    <row r="85" spans="1:48" x14ac:dyDescent="0.45">
      <c r="A85" s="207"/>
      <c r="B85" s="234"/>
      <c r="C85" s="10"/>
      <c r="D85" s="10"/>
      <c r="E85" s="10"/>
      <c r="F85" s="10"/>
      <c r="G85" s="10"/>
      <c r="H85" s="13"/>
      <c r="I85" s="13"/>
      <c r="J85" s="13"/>
      <c r="K85" s="13"/>
      <c r="L85" s="12"/>
      <c r="M85" s="15"/>
      <c r="N85" s="32"/>
      <c r="O85" s="17"/>
      <c r="P85" s="15"/>
      <c r="Q85" s="32"/>
      <c r="R85" s="17"/>
      <c r="S85" s="15"/>
      <c r="T85" s="32"/>
      <c r="U85" s="17"/>
      <c r="V85" s="15"/>
      <c r="W85" s="32"/>
      <c r="X85" s="17"/>
      <c r="Y85" s="15"/>
      <c r="Z85" s="32"/>
      <c r="AA85" s="18"/>
      <c r="AB85" s="19"/>
      <c r="AC85" s="250">
        <f>SUM(G79:G86)</f>
        <v>0</v>
      </c>
      <c r="AI85">
        <f>_xlfn.IFNA(MATCH(Legends!$B$5, L85:AA85,0), 999)</f>
        <v>999</v>
      </c>
      <c r="AJ85">
        <f>_xlfn.IFNA(MATCH(Legends!$B$8, L85:AA85,0), 999)</f>
        <v>999</v>
      </c>
      <c r="AK85">
        <f>_xlfn.IFNA(MATCH(Legends!$B$9, L85:AA85,0), 999)</f>
        <v>999</v>
      </c>
      <c r="AL85">
        <f>_xlfn.IFNA(MATCH(Legends!$B$6, L85:AA85,0),999)</f>
        <v>999</v>
      </c>
      <c r="AM85">
        <f>_xlfn.IFNA(MATCH(Legends!$B$7, 'Advisor View'!L85:AA85, 0), 999)</f>
        <v>999</v>
      </c>
      <c r="AN85">
        <f t="shared" si="24"/>
        <v>999</v>
      </c>
      <c r="AO85">
        <f t="shared" si="23"/>
        <v>0</v>
      </c>
      <c r="AP85">
        <f t="shared" si="16"/>
        <v>0</v>
      </c>
      <c r="AQ85">
        <f t="shared" si="17"/>
        <v>0</v>
      </c>
      <c r="AR85">
        <f t="shared" si="18"/>
        <v>0</v>
      </c>
      <c r="AS85">
        <f t="shared" si="19"/>
        <v>0</v>
      </c>
      <c r="AT85">
        <f t="shared" si="20"/>
        <v>0</v>
      </c>
      <c r="AU85">
        <f t="shared" si="21"/>
        <v>0</v>
      </c>
      <c r="AV85">
        <f t="shared" si="22"/>
        <v>0</v>
      </c>
    </row>
    <row r="86" spans="1:48" ht="14.65" thickBot="1" x14ac:dyDescent="0.5">
      <c r="A86" s="207"/>
      <c r="B86" s="234"/>
      <c r="C86" s="21"/>
      <c r="D86" s="21"/>
      <c r="E86" s="21"/>
      <c r="F86" s="21"/>
      <c r="G86" s="56"/>
      <c r="H86" s="24"/>
      <c r="I86" s="24"/>
      <c r="J86" s="24"/>
      <c r="K86" s="24"/>
      <c r="L86" s="23"/>
      <c r="M86" s="27"/>
      <c r="N86" s="33"/>
      <c r="O86" s="29"/>
      <c r="P86" s="27"/>
      <c r="Q86" s="33"/>
      <c r="R86" s="29"/>
      <c r="S86" s="27"/>
      <c r="T86" s="33"/>
      <c r="U86" s="29"/>
      <c r="V86" s="27"/>
      <c r="W86" s="33"/>
      <c r="X86" s="29"/>
      <c r="Y86" s="27"/>
      <c r="Z86" s="33"/>
      <c r="AA86" s="30"/>
      <c r="AB86" s="31"/>
      <c r="AC86" s="250"/>
      <c r="AI86">
        <f>_xlfn.IFNA(MATCH(Legends!$B$5, L86:AA86,0), 999)</f>
        <v>999</v>
      </c>
      <c r="AJ86">
        <f>_xlfn.IFNA(MATCH(Legends!$B$8, L86:AA86,0), 999)</f>
        <v>999</v>
      </c>
      <c r="AK86">
        <f>_xlfn.IFNA(MATCH(Legends!$B$9, L86:AA86,0), 999)</f>
        <v>999</v>
      </c>
      <c r="AL86">
        <f>_xlfn.IFNA(MATCH(Legends!$B$6, L86:AA86,0),999)</f>
        <v>999</v>
      </c>
      <c r="AM86">
        <f>_xlfn.IFNA(MATCH(Legends!$B$7, 'Advisor View'!L86:AA86, 0), 999)</f>
        <v>999</v>
      </c>
      <c r="AN86">
        <f t="shared" si="24"/>
        <v>999</v>
      </c>
      <c r="AO86">
        <f t="shared" si="23"/>
        <v>0</v>
      </c>
      <c r="AP86">
        <f t="shared" si="16"/>
        <v>0</v>
      </c>
      <c r="AQ86">
        <f t="shared" si="17"/>
        <v>0</v>
      </c>
      <c r="AR86">
        <f t="shared" si="18"/>
        <v>0</v>
      </c>
      <c r="AS86">
        <f t="shared" si="19"/>
        <v>0</v>
      </c>
      <c r="AT86">
        <f t="shared" si="20"/>
        <v>0</v>
      </c>
      <c r="AU86">
        <f t="shared" si="21"/>
        <v>0</v>
      </c>
      <c r="AV86">
        <f t="shared" si="22"/>
        <v>0</v>
      </c>
    </row>
    <row r="87" spans="1:48" ht="15" customHeight="1" x14ac:dyDescent="0.45">
      <c r="A87" s="207"/>
      <c r="B87" s="209"/>
      <c r="C87" s="218" t="s">
        <v>0</v>
      </c>
      <c r="D87" s="215" t="s">
        <v>45</v>
      </c>
      <c r="E87" s="216"/>
      <c r="F87" s="216"/>
      <c r="G87" s="217"/>
      <c r="H87" s="211" t="s">
        <v>7</v>
      </c>
      <c r="I87" s="211"/>
      <c r="J87" s="211" t="s">
        <v>8</v>
      </c>
      <c r="K87" s="211"/>
      <c r="L87" s="212" t="s">
        <v>22</v>
      </c>
      <c r="M87" s="211" t="s">
        <v>127</v>
      </c>
      <c r="N87" s="211"/>
      <c r="O87" s="211"/>
      <c r="P87" s="211" t="s">
        <v>128</v>
      </c>
      <c r="Q87" s="211"/>
      <c r="R87" s="211"/>
      <c r="S87" s="211" t="s">
        <v>129</v>
      </c>
      <c r="T87" s="211"/>
      <c r="U87" s="211"/>
      <c r="V87" s="211" t="s">
        <v>130</v>
      </c>
      <c r="W87" s="211"/>
      <c r="X87" s="211"/>
      <c r="Y87" s="211" t="s">
        <v>131</v>
      </c>
      <c r="Z87" s="211"/>
      <c r="AA87" s="211"/>
      <c r="AB87" s="252" t="s">
        <v>21</v>
      </c>
      <c r="AC87" s="248" t="s">
        <v>28</v>
      </c>
      <c r="AI87" s="98">
        <v>999</v>
      </c>
      <c r="AJ87" s="98">
        <v>999</v>
      </c>
      <c r="AK87" s="98">
        <v>999</v>
      </c>
      <c r="AL87" s="98">
        <v>999</v>
      </c>
      <c r="AM87" s="98">
        <v>999</v>
      </c>
    </row>
    <row r="88" spans="1:48" ht="14.65" thickBot="1" x14ac:dyDescent="0.5">
      <c r="A88" s="207"/>
      <c r="B88" s="210"/>
      <c r="C88" s="219"/>
      <c r="D88" s="132" t="s">
        <v>1</v>
      </c>
      <c r="E88" s="132" t="s">
        <v>9</v>
      </c>
      <c r="F88" s="132" t="s">
        <v>10</v>
      </c>
      <c r="G88" s="124" t="s">
        <v>2</v>
      </c>
      <c r="H88" s="124">
        <v>1</v>
      </c>
      <c r="I88" s="124">
        <v>2</v>
      </c>
      <c r="J88" s="124">
        <v>1</v>
      </c>
      <c r="K88" s="124">
        <v>2</v>
      </c>
      <c r="L88" s="213"/>
      <c r="M88" s="124" t="s">
        <v>9</v>
      </c>
      <c r="N88" s="124" t="s">
        <v>10</v>
      </c>
      <c r="O88" s="133" t="s">
        <v>11</v>
      </c>
      <c r="P88" s="124" t="s">
        <v>9</v>
      </c>
      <c r="Q88" s="124" t="s">
        <v>10</v>
      </c>
      <c r="R88" s="133" t="s">
        <v>11</v>
      </c>
      <c r="S88" s="124" t="s">
        <v>9</v>
      </c>
      <c r="T88" s="124" t="s">
        <v>10</v>
      </c>
      <c r="U88" s="133" t="s">
        <v>11</v>
      </c>
      <c r="V88" s="124" t="s">
        <v>9</v>
      </c>
      <c r="W88" s="124" t="s">
        <v>10</v>
      </c>
      <c r="X88" s="133" t="s">
        <v>11</v>
      </c>
      <c r="Y88" s="124" t="s">
        <v>9</v>
      </c>
      <c r="Z88" s="124" t="s">
        <v>10</v>
      </c>
      <c r="AA88" s="133" t="s">
        <v>11</v>
      </c>
      <c r="AB88" s="253"/>
      <c r="AC88" s="249"/>
      <c r="AI88" s="98">
        <v>999</v>
      </c>
      <c r="AJ88" s="98">
        <v>999</v>
      </c>
      <c r="AK88" s="98">
        <v>999</v>
      </c>
      <c r="AL88" s="98">
        <v>999</v>
      </c>
      <c r="AM88" s="98">
        <v>999</v>
      </c>
    </row>
    <row r="89" spans="1:48" ht="14.25" customHeight="1" x14ac:dyDescent="0.45">
      <c r="A89" s="207"/>
      <c r="B89" s="233" t="s">
        <v>26</v>
      </c>
      <c r="C89" s="139"/>
      <c r="D89" s="139"/>
      <c r="E89" s="10"/>
      <c r="F89" s="10"/>
      <c r="G89" s="10"/>
      <c r="H89" s="13"/>
      <c r="I89" s="13"/>
      <c r="J89" s="13"/>
      <c r="K89" s="13"/>
      <c r="L89" s="12"/>
      <c r="M89" s="15"/>
      <c r="N89" s="32"/>
      <c r="O89" s="17"/>
      <c r="P89" s="15"/>
      <c r="Q89" s="32"/>
      <c r="R89" s="17"/>
      <c r="S89" s="15"/>
      <c r="T89" s="32"/>
      <c r="U89" s="17"/>
      <c r="V89" s="15"/>
      <c r="W89" s="32"/>
      <c r="X89" s="17"/>
      <c r="Y89" s="15"/>
      <c r="Z89" s="32"/>
      <c r="AA89" s="18"/>
      <c r="AB89" s="19"/>
      <c r="AC89" s="250">
        <f>SUM(AO89:AO96)</f>
        <v>0</v>
      </c>
      <c r="AE89" t="s">
        <v>113</v>
      </c>
      <c r="AI89">
        <f>_xlfn.IFNA(MATCH(Legends!$B$5, L89:AA89,0), 999)</f>
        <v>999</v>
      </c>
      <c r="AJ89">
        <f>_xlfn.IFNA(MATCH(Legends!$B$8, L89:AA89,0), 999)</f>
        <v>999</v>
      </c>
      <c r="AK89">
        <f>_xlfn.IFNA(MATCH(Legends!$B$9, L89:AA89,0), 999)</f>
        <v>999</v>
      </c>
      <c r="AL89">
        <f>_xlfn.IFNA(MATCH(Legends!$B$6, L89:AA89,0),999)</f>
        <v>999</v>
      </c>
      <c r="AM89">
        <f>_xlfn.IFNA(MATCH(Legends!$B$7, 'Advisor View'!L89:AA89, 0), 999)</f>
        <v>999</v>
      </c>
      <c r="AN89">
        <f t="shared" ref="AN89:AN113" si="25">MIN(IF(ISERROR(AI89), 999, AI89), IF(ISERROR(AL89), 999, AL89), IF(ISERROR(AM89), 999, AM89))</f>
        <v>999</v>
      </c>
      <c r="AO89">
        <f t="shared" ref="AO89:AO113" si="26">IF(AN89&lt;999,G89,0)</f>
        <v>0</v>
      </c>
      <c r="AP89">
        <f t="shared" ref="AP89:AP113" si="27">COUNTIF(L89:AA89,"C")</f>
        <v>0</v>
      </c>
      <c r="AQ89">
        <f t="shared" ref="AQ89:AQ113" si="28">COUNTIF(L89:AA89,"IP")</f>
        <v>0</v>
      </c>
      <c r="AR89">
        <f t="shared" ref="AR89:AR113" si="29">COUNTIF(L89:AA89,"R")</f>
        <v>0</v>
      </c>
      <c r="AS89">
        <f t="shared" ref="AS89:AS113" si="30">COUNTIF(L89:AA89,"W")</f>
        <v>0</v>
      </c>
      <c r="AT89">
        <f t="shared" ref="AT89:AT113" si="31">COUNTIF(L89:AA89,"F")</f>
        <v>0</v>
      </c>
      <c r="AU89">
        <f t="shared" ref="AU89:AU113" si="32">SUM(AP89:AR89)</f>
        <v>0</v>
      </c>
      <c r="AV89">
        <f t="shared" ref="AV89:AV113" si="33">SUM(AS89:AT89)</f>
        <v>0</v>
      </c>
    </row>
    <row r="90" spans="1:48" x14ac:dyDescent="0.45">
      <c r="A90" s="207"/>
      <c r="B90" s="234"/>
      <c r="C90" s="21"/>
      <c r="D90" s="21"/>
      <c r="E90" s="21"/>
      <c r="F90" s="21"/>
      <c r="G90" s="21"/>
      <c r="H90" s="24"/>
      <c r="I90" s="24"/>
      <c r="J90" s="24"/>
      <c r="K90" s="24"/>
      <c r="L90" s="12"/>
      <c r="M90" s="15"/>
      <c r="N90" s="32"/>
      <c r="O90" s="17"/>
      <c r="P90" s="15"/>
      <c r="Q90" s="32"/>
      <c r="R90" s="17"/>
      <c r="S90" s="15"/>
      <c r="T90" s="32"/>
      <c r="U90" s="17"/>
      <c r="V90" s="15"/>
      <c r="W90" s="32"/>
      <c r="X90" s="17"/>
      <c r="Y90" s="15"/>
      <c r="Z90" s="32"/>
      <c r="AA90" s="18"/>
      <c r="AB90" s="19"/>
      <c r="AC90" s="250"/>
      <c r="AI90">
        <f>_xlfn.IFNA(MATCH(Legends!$B$5, L90:AA90,0), 999)</f>
        <v>999</v>
      </c>
      <c r="AJ90">
        <f>_xlfn.IFNA(MATCH(Legends!$B$8, L90:AA90,0), 999)</f>
        <v>999</v>
      </c>
      <c r="AK90">
        <f>_xlfn.IFNA(MATCH(Legends!$B$9, L90:AA90,0), 999)</f>
        <v>999</v>
      </c>
      <c r="AL90">
        <f>_xlfn.IFNA(MATCH(Legends!$B$6, L90:AA90,0),999)</f>
        <v>999</v>
      </c>
      <c r="AM90">
        <f>_xlfn.IFNA(MATCH(Legends!$B$7, 'Advisor View'!L90:AA90, 0), 999)</f>
        <v>999</v>
      </c>
      <c r="AN90">
        <f t="shared" si="25"/>
        <v>999</v>
      </c>
      <c r="AO90">
        <f t="shared" si="26"/>
        <v>0</v>
      </c>
      <c r="AP90">
        <f t="shared" si="27"/>
        <v>0</v>
      </c>
      <c r="AQ90">
        <f t="shared" si="28"/>
        <v>0</v>
      </c>
      <c r="AR90">
        <f t="shared" si="29"/>
        <v>0</v>
      </c>
      <c r="AS90">
        <f t="shared" si="30"/>
        <v>0</v>
      </c>
      <c r="AT90">
        <f t="shared" si="31"/>
        <v>0</v>
      </c>
      <c r="AU90">
        <f t="shared" si="32"/>
        <v>0</v>
      </c>
      <c r="AV90">
        <f t="shared" si="33"/>
        <v>0</v>
      </c>
    </row>
    <row r="91" spans="1:48" x14ac:dyDescent="0.45">
      <c r="A91" s="207"/>
      <c r="B91" s="234"/>
      <c r="C91" s="10"/>
      <c r="D91" s="10"/>
      <c r="E91" s="10"/>
      <c r="F91" s="10"/>
      <c r="G91" s="10"/>
      <c r="H91" s="13"/>
      <c r="I91" s="13"/>
      <c r="J91" s="13"/>
      <c r="K91" s="13"/>
      <c r="L91" s="12"/>
      <c r="M91" s="15"/>
      <c r="N91" s="32"/>
      <c r="O91" s="17"/>
      <c r="P91" s="15"/>
      <c r="Q91" s="32"/>
      <c r="R91" s="17"/>
      <c r="S91" s="15"/>
      <c r="T91" s="32"/>
      <c r="U91" s="17"/>
      <c r="V91" s="15"/>
      <c r="W91" s="32"/>
      <c r="X91" s="17"/>
      <c r="Y91" s="15"/>
      <c r="Z91" s="32"/>
      <c r="AA91" s="18"/>
      <c r="AB91" s="19"/>
      <c r="AC91" s="250"/>
      <c r="AI91">
        <f>_xlfn.IFNA(MATCH(Legends!$B$5, L91:AA91,0), 999)</f>
        <v>999</v>
      </c>
      <c r="AJ91">
        <f>_xlfn.IFNA(MATCH(Legends!$B$8, L91:AA91,0), 999)</f>
        <v>999</v>
      </c>
      <c r="AK91">
        <f>_xlfn.IFNA(MATCH(Legends!$B$9, L91:AA91,0), 999)</f>
        <v>999</v>
      </c>
      <c r="AL91">
        <f>_xlfn.IFNA(MATCH(Legends!$B$6, L91:AA91,0),999)</f>
        <v>999</v>
      </c>
      <c r="AM91">
        <f>_xlfn.IFNA(MATCH(Legends!$B$7, 'Advisor View'!L91:AA91, 0), 999)</f>
        <v>999</v>
      </c>
      <c r="AN91">
        <f t="shared" si="25"/>
        <v>999</v>
      </c>
      <c r="AO91">
        <f t="shared" si="26"/>
        <v>0</v>
      </c>
      <c r="AP91">
        <f t="shared" si="27"/>
        <v>0</v>
      </c>
      <c r="AQ91">
        <f t="shared" si="28"/>
        <v>0</v>
      </c>
      <c r="AR91">
        <f t="shared" si="29"/>
        <v>0</v>
      </c>
      <c r="AS91">
        <f t="shared" si="30"/>
        <v>0</v>
      </c>
      <c r="AT91">
        <f t="shared" si="31"/>
        <v>0</v>
      </c>
      <c r="AU91">
        <f t="shared" si="32"/>
        <v>0</v>
      </c>
      <c r="AV91">
        <f t="shared" si="33"/>
        <v>0</v>
      </c>
    </row>
    <row r="92" spans="1:48" x14ac:dyDescent="0.45">
      <c r="A92" s="207"/>
      <c r="B92" s="234"/>
      <c r="C92" s="21"/>
      <c r="D92" s="21"/>
      <c r="E92" s="21"/>
      <c r="F92" s="21"/>
      <c r="G92" s="56"/>
      <c r="H92" s="24"/>
      <c r="I92" s="24"/>
      <c r="J92" s="24"/>
      <c r="K92" s="24"/>
      <c r="L92" s="12"/>
      <c r="M92" s="15"/>
      <c r="N92" s="32"/>
      <c r="O92" s="17"/>
      <c r="P92" s="15"/>
      <c r="Q92" s="32"/>
      <c r="R92" s="17"/>
      <c r="S92" s="15"/>
      <c r="T92" s="32"/>
      <c r="U92" s="17"/>
      <c r="V92" s="15"/>
      <c r="W92" s="32"/>
      <c r="X92" s="17"/>
      <c r="Y92" s="15"/>
      <c r="Z92" s="32"/>
      <c r="AA92" s="18"/>
      <c r="AB92" s="19"/>
      <c r="AC92" s="250"/>
      <c r="AI92">
        <f>_xlfn.IFNA(MATCH(Legends!$B$5, L92:AA92,0), 999)</f>
        <v>999</v>
      </c>
      <c r="AJ92">
        <f>_xlfn.IFNA(MATCH(Legends!$B$8, L92:AA92,0), 999)</f>
        <v>999</v>
      </c>
      <c r="AK92">
        <f>_xlfn.IFNA(MATCH(Legends!$B$9, L92:AA92,0), 999)</f>
        <v>999</v>
      </c>
      <c r="AL92">
        <f>_xlfn.IFNA(MATCH(Legends!$B$6, L92:AA92,0),999)</f>
        <v>999</v>
      </c>
      <c r="AM92">
        <f>_xlfn.IFNA(MATCH(Legends!$B$7, 'Advisor View'!L92:AA92, 0), 999)</f>
        <v>999</v>
      </c>
      <c r="AN92">
        <f t="shared" si="25"/>
        <v>999</v>
      </c>
      <c r="AO92">
        <f t="shared" si="26"/>
        <v>0</v>
      </c>
      <c r="AP92">
        <f t="shared" si="27"/>
        <v>0</v>
      </c>
      <c r="AQ92">
        <f t="shared" si="28"/>
        <v>0</v>
      </c>
      <c r="AR92">
        <f t="shared" si="29"/>
        <v>0</v>
      </c>
      <c r="AS92">
        <f t="shared" si="30"/>
        <v>0</v>
      </c>
      <c r="AT92">
        <f t="shared" si="31"/>
        <v>0</v>
      </c>
      <c r="AU92">
        <f t="shared" si="32"/>
        <v>0</v>
      </c>
      <c r="AV92">
        <f t="shared" si="33"/>
        <v>0</v>
      </c>
    </row>
    <row r="93" spans="1:48" x14ac:dyDescent="0.45">
      <c r="A93" s="207"/>
      <c r="B93" s="234"/>
      <c r="C93" s="10"/>
      <c r="D93" s="10"/>
      <c r="E93" s="10"/>
      <c r="F93" s="10"/>
      <c r="G93" s="10"/>
      <c r="H93" s="13"/>
      <c r="I93" s="13"/>
      <c r="J93" s="13"/>
      <c r="K93" s="13"/>
      <c r="L93" s="23"/>
      <c r="M93" s="27"/>
      <c r="N93" s="33"/>
      <c r="O93" s="29"/>
      <c r="P93" s="27"/>
      <c r="Q93" s="33"/>
      <c r="R93" s="29"/>
      <c r="S93" s="27"/>
      <c r="T93" s="33"/>
      <c r="U93" s="29"/>
      <c r="V93" s="27"/>
      <c r="W93" s="33"/>
      <c r="X93" s="29"/>
      <c r="Y93" s="27"/>
      <c r="Z93" s="33"/>
      <c r="AA93" s="30"/>
      <c r="AB93" s="31"/>
      <c r="AC93" s="250"/>
      <c r="AI93">
        <f>_xlfn.IFNA(MATCH(Legends!$B$5, L93:AA93,0), 999)</f>
        <v>999</v>
      </c>
      <c r="AJ93">
        <f>_xlfn.IFNA(MATCH(Legends!$B$8, L93:AA93,0), 999)</f>
        <v>999</v>
      </c>
      <c r="AK93">
        <f>_xlfn.IFNA(MATCH(Legends!$B$9, L93:AA93,0), 999)</f>
        <v>999</v>
      </c>
      <c r="AL93">
        <f>_xlfn.IFNA(MATCH(Legends!$B$6, L93:AA93,0),999)</f>
        <v>999</v>
      </c>
      <c r="AM93">
        <f>_xlfn.IFNA(MATCH(Legends!$B$7, 'Advisor View'!L93:AA93, 0), 999)</f>
        <v>999</v>
      </c>
      <c r="AN93">
        <f t="shared" si="25"/>
        <v>999</v>
      </c>
      <c r="AO93">
        <f t="shared" si="26"/>
        <v>0</v>
      </c>
      <c r="AP93">
        <f t="shared" si="27"/>
        <v>0</v>
      </c>
      <c r="AQ93">
        <f t="shared" si="28"/>
        <v>0</v>
      </c>
      <c r="AR93">
        <f t="shared" si="29"/>
        <v>0</v>
      </c>
      <c r="AS93">
        <f t="shared" si="30"/>
        <v>0</v>
      </c>
      <c r="AT93">
        <f t="shared" si="31"/>
        <v>0</v>
      </c>
      <c r="AU93">
        <f t="shared" si="32"/>
        <v>0</v>
      </c>
      <c r="AV93">
        <f t="shared" si="33"/>
        <v>0</v>
      </c>
    </row>
    <row r="94" spans="1:48" x14ac:dyDescent="0.45">
      <c r="A94" s="207"/>
      <c r="B94" s="234"/>
      <c r="C94" s="21"/>
      <c r="D94" s="21"/>
      <c r="E94" s="21"/>
      <c r="F94" s="21"/>
      <c r="G94" s="56"/>
      <c r="H94" s="24"/>
      <c r="I94" s="24"/>
      <c r="J94" s="24"/>
      <c r="K94" s="24"/>
      <c r="L94" s="12"/>
      <c r="M94" s="15"/>
      <c r="N94" s="32"/>
      <c r="O94" s="17"/>
      <c r="P94" s="15"/>
      <c r="Q94" s="32"/>
      <c r="R94" s="17"/>
      <c r="S94" s="15"/>
      <c r="T94" s="32"/>
      <c r="U94" s="17"/>
      <c r="V94" s="15"/>
      <c r="W94" s="32"/>
      <c r="X94" s="17"/>
      <c r="Y94" s="15"/>
      <c r="Z94" s="32"/>
      <c r="AA94" s="18"/>
      <c r="AB94" s="19"/>
      <c r="AC94" s="4" t="s">
        <v>29</v>
      </c>
      <c r="AI94">
        <f>_xlfn.IFNA(MATCH(Legends!$B$5, L94:AA94,0), 999)</f>
        <v>999</v>
      </c>
      <c r="AJ94">
        <f>_xlfn.IFNA(MATCH(Legends!$B$8, L94:AA94,0), 999)</f>
        <v>999</v>
      </c>
      <c r="AK94">
        <f>_xlfn.IFNA(MATCH(Legends!$B$9, L94:AA94,0), 999)</f>
        <v>999</v>
      </c>
      <c r="AL94">
        <f>_xlfn.IFNA(MATCH(Legends!$B$6, L94:AA94,0),999)</f>
        <v>999</v>
      </c>
      <c r="AM94">
        <f>_xlfn.IFNA(MATCH(Legends!$B$7, 'Advisor View'!L94:AA94, 0), 999)</f>
        <v>999</v>
      </c>
      <c r="AN94">
        <f t="shared" si="25"/>
        <v>999</v>
      </c>
      <c r="AO94">
        <f t="shared" si="26"/>
        <v>0</v>
      </c>
      <c r="AP94">
        <f t="shared" si="27"/>
        <v>0</v>
      </c>
      <c r="AQ94">
        <f t="shared" si="28"/>
        <v>0</v>
      </c>
      <c r="AR94">
        <f t="shared" si="29"/>
        <v>0</v>
      </c>
      <c r="AS94">
        <f t="shared" si="30"/>
        <v>0</v>
      </c>
      <c r="AT94">
        <f t="shared" si="31"/>
        <v>0</v>
      </c>
      <c r="AU94">
        <f t="shared" si="32"/>
        <v>0</v>
      </c>
      <c r="AV94">
        <f t="shared" si="33"/>
        <v>0</v>
      </c>
    </row>
    <row r="95" spans="1:48" x14ac:dyDescent="0.45">
      <c r="A95" s="207"/>
      <c r="B95" s="234"/>
      <c r="C95" s="10"/>
      <c r="D95" s="10"/>
      <c r="E95" s="10"/>
      <c r="F95" s="10"/>
      <c r="G95" s="10"/>
      <c r="H95" s="13"/>
      <c r="I95" s="13"/>
      <c r="J95" s="13"/>
      <c r="K95" s="13"/>
      <c r="L95" s="23"/>
      <c r="M95" s="27"/>
      <c r="N95" s="33"/>
      <c r="O95" s="29"/>
      <c r="P95" s="27"/>
      <c r="Q95" s="33"/>
      <c r="R95" s="29"/>
      <c r="S95" s="27"/>
      <c r="T95" s="33"/>
      <c r="U95" s="29"/>
      <c r="V95" s="27"/>
      <c r="W95" s="33"/>
      <c r="X95" s="29"/>
      <c r="Y95" s="27"/>
      <c r="Z95" s="33"/>
      <c r="AA95" s="30"/>
      <c r="AB95" s="31"/>
      <c r="AC95" s="250">
        <f>SUM(G89:G96)</f>
        <v>0</v>
      </c>
      <c r="AI95">
        <f>_xlfn.IFNA(MATCH(Legends!$B$5, L95:AA95,0), 999)</f>
        <v>999</v>
      </c>
      <c r="AJ95">
        <f>_xlfn.IFNA(MATCH(Legends!$B$8, L95:AA95,0), 999)</f>
        <v>999</v>
      </c>
      <c r="AK95">
        <f>_xlfn.IFNA(MATCH(Legends!$B$9, L95:AA95,0), 999)</f>
        <v>999</v>
      </c>
      <c r="AL95">
        <f>_xlfn.IFNA(MATCH(Legends!$B$6, L95:AA95,0),999)</f>
        <v>999</v>
      </c>
      <c r="AM95">
        <f>_xlfn.IFNA(MATCH(Legends!$B$7, 'Advisor View'!L95:AA95, 0), 999)</f>
        <v>999</v>
      </c>
      <c r="AN95">
        <f t="shared" si="25"/>
        <v>999</v>
      </c>
      <c r="AO95">
        <f t="shared" si="26"/>
        <v>0</v>
      </c>
      <c r="AP95">
        <f t="shared" si="27"/>
        <v>0</v>
      </c>
      <c r="AQ95">
        <f t="shared" si="28"/>
        <v>0</v>
      </c>
      <c r="AR95">
        <f t="shared" si="29"/>
        <v>0</v>
      </c>
      <c r="AS95">
        <f t="shared" si="30"/>
        <v>0</v>
      </c>
      <c r="AT95">
        <f t="shared" si="31"/>
        <v>0</v>
      </c>
      <c r="AU95">
        <f t="shared" si="32"/>
        <v>0</v>
      </c>
      <c r="AV95">
        <f t="shared" si="33"/>
        <v>0</v>
      </c>
    </row>
    <row r="96" spans="1:48" ht="14.65" thickBot="1" x14ac:dyDescent="0.5">
      <c r="A96" s="207"/>
      <c r="B96" s="234"/>
      <c r="C96" s="21"/>
      <c r="D96" s="21"/>
      <c r="E96" s="21"/>
      <c r="F96" s="21"/>
      <c r="G96" s="56"/>
      <c r="H96" s="24"/>
      <c r="I96" s="24"/>
      <c r="J96" s="24"/>
      <c r="K96" s="24"/>
      <c r="L96" s="12"/>
      <c r="M96" s="15"/>
      <c r="N96" s="32"/>
      <c r="O96" s="17"/>
      <c r="P96" s="15"/>
      <c r="Q96" s="32"/>
      <c r="R96" s="17"/>
      <c r="S96" s="15"/>
      <c r="T96" s="32"/>
      <c r="U96" s="17"/>
      <c r="V96" s="15"/>
      <c r="W96" s="32"/>
      <c r="X96" s="17"/>
      <c r="Y96" s="15"/>
      <c r="Z96" s="32"/>
      <c r="AA96" s="18"/>
      <c r="AB96" s="19"/>
      <c r="AC96" s="250"/>
      <c r="AI96">
        <f>_xlfn.IFNA(MATCH(Legends!$B$5, L96:AA96,0), 999)</f>
        <v>999</v>
      </c>
      <c r="AJ96">
        <f>_xlfn.IFNA(MATCH(Legends!$B$8, L96:AA96,0), 999)</f>
        <v>999</v>
      </c>
      <c r="AK96">
        <f>_xlfn.IFNA(MATCH(Legends!$B$9, L96:AA96,0), 999)</f>
        <v>999</v>
      </c>
      <c r="AL96">
        <f>_xlfn.IFNA(MATCH(Legends!$B$6, L96:AA96,0),999)</f>
        <v>999</v>
      </c>
      <c r="AM96">
        <f>_xlfn.IFNA(MATCH(Legends!$B$7, 'Advisor View'!L96:AA96, 0), 999)</f>
        <v>999</v>
      </c>
      <c r="AN96">
        <f t="shared" si="25"/>
        <v>999</v>
      </c>
      <c r="AO96">
        <f t="shared" si="26"/>
        <v>0</v>
      </c>
      <c r="AP96">
        <f t="shared" si="27"/>
        <v>0</v>
      </c>
      <c r="AQ96">
        <f t="shared" si="28"/>
        <v>0</v>
      </c>
      <c r="AR96">
        <f t="shared" si="29"/>
        <v>0</v>
      </c>
      <c r="AS96">
        <f t="shared" si="30"/>
        <v>0</v>
      </c>
      <c r="AT96">
        <f t="shared" si="31"/>
        <v>0</v>
      </c>
      <c r="AU96">
        <f t="shared" si="32"/>
        <v>0</v>
      </c>
      <c r="AV96">
        <f t="shared" si="33"/>
        <v>0</v>
      </c>
    </row>
    <row r="97" spans="1:48" ht="14.25" customHeight="1" x14ac:dyDescent="0.45">
      <c r="A97" s="207"/>
      <c r="B97" s="209"/>
      <c r="C97" s="218" t="s">
        <v>0</v>
      </c>
      <c r="D97" s="215" t="s">
        <v>126</v>
      </c>
      <c r="E97" s="216"/>
      <c r="F97" s="216"/>
      <c r="G97" s="217"/>
      <c r="H97" s="211" t="s">
        <v>7</v>
      </c>
      <c r="I97" s="211"/>
      <c r="J97" s="211" t="s">
        <v>8</v>
      </c>
      <c r="K97" s="211"/>
      <c r="L97" s="212" t="s">
        <v>22</v>
      </c>
      <c r="M97" s="211" t="s">
        <v>127</v>
      </c>
      <c r="N97" s="211"/>
      <c r="O97" s="211"/>
      <c r="P97" s="211" t="s">
        <v>128</v>
      </c>
      <c r="Q97" s="211"/>
      <c r="R97" s="211"/>
      <c r="S97" s="211" t="s">
        <v>129</v>
      </c>
      <c r="T97" s="211"/>
      <c r="U97" s="211"/>
      <c r="V97" s="211" t="s">
        <v>130</v>
      </c>
      <c r="W97" s="211"/>
      <c r="X97" s="211"/>
      <c r="Y97" s="211" t="s">
        <v>131</v>
      </c>
      <c r="Z97" s="211"/>
      <c r="AA97" s="211"/>
      <c r="AB97" s="252" t="s">
        <v>21</v>
      </c>
      <c r="AC97" s="248" t="s">
        <v>28</v>
      </c>
      <c r="AI97" s="98">
        <v>999</v>
      </c>
      <c r="AJ97" s="98">
        <v>999</v>
      </c>
      <c r="AK97" s="98">
        <v>999</v>
      </c>
      <c r="AL97" s="98">
        <v>999</v>
      </c>
      <c r="AM97" s="98">
        <v>999</v>
      </c>
    </row>
    <row r="98" spans="1:48" ht="14.65" thickBot="1" x14ac:dyDescent="0.5">
      <c r="A98" s="207"/>
      <c r="B98" s="210"/>
      <c r="C98" s="219"/>
      <c r="D98" s="132" t="s">
        <v>1</v>
      </c>
      <c r="E98" s="132" t="s">
        <v>9</v>
      </c>
      <c r="F98" s="132" t="s">
        <v>10</v>
      </c>
      <c r="G98" s="124" t="s">
        <v>2</v>
      </c>
      <c r="H98" s="124">
        <v>1</v>
      </c>
      <c r="I98" s="124">
        <v>2</v>
      </c>
      <c r="J98" s="124">
        <v>1</v>
      </c>
      <c r="K98" s="124">
        <v>2</v>
      </c>
      <c r="L98" s="213"/>
      <c r="M98" s="124" t="s">
        <v>9</v>
      </c>
      <c r="N98" s="124" t="s">
        <v>10</v>
      </c>
      <c r="O98" s="133" t="s">
        <v>11</v>
      </c>
      <c r="P98" s="124" t="s">
        <v>9</v>
      </c>
      <c r="Q98" s="124" t="s">
        <v>10</v>
      </c>
      <c r="R98" s="133" t="s">
        <v>11</v>
      </c>
      <c r="S98" s="124" t="s">
        <v>9</v>
      </c>
      <c r="T98" s="124" t="s">
        <v>10</v>
      </c>
      <c r="U98" s="133" t="s">
        <v>11</v>
      </c>
      <c r="V98" s="124" t="s">
        <v>9</v>
      </c>
      <c r="W98" s="124" t="s">
        <v>10</v>
      </c>
      <c r="X98" s="133" t="s">
        <v>11</v>
      </c>
      <c r="Y98" s="124" t="s">
        <v>9</v>
      </c>
      <c r="Z98" s="124" t="s">
        <v>10</v>
      </c>
      <c r="AA98" s="133" t="s">
        <v>11</v>
      </c>
      <c r="AB98" s="253"/>
      <c r="AC98" s="249"/>
      <c r="AI98" s="98">
        <v>999</v>
      </c>
      <c r="AJ98" s="98">
        <v>999</v>
      </c>
      <c r="AK98" s="98">
        <v>999</v>
      </c>
      <c r="AL98" s="98">
        <v>999</v>
      </c>
      <c r="AM98" s="98">
        <v>999</v>
      </c>
    </row>
    <row r="99" spans="1:48" ht="14.25" customHeight="1" x14ac:dyDescent="0.45">
      <c r="A99" s="207"/>
      <c r="B99" s="233" t="s">
        <v>27</v>
      </c>
      <c r="C99" s="10"/>
      <c r="D99" s="10"/>
      <c r="E99" s="10"/>
      <c r="F99" s="10"/>
      <c r="G99" s="10"/>
      <c r="H99" s="13"/>
      <c r="I99" s="13"/>
      <c r="J99" s="13" t="s">
        <v>4</v>
      </c>
      <c r="K99" s="13" t="s">
        <v>4</v>
      </c>
      <c r="L99" s="12"/>
      <c r="M99" s="15"/>
      <c r="N99" s="32"/>
      <c r="O99" s="17"/>
      <c r="P99" s="15"/>
      <c r="Q99" s="32"/>
      <c r="R99" s="17"/>
      <c r="S99" s="15"/>
      <c r="T99" s="32"/>
      <c r="U99" s="17"/>
      <c r="V99" s="15"/>
      <c r="W99" s="32"/>
      <c r="X99" s="17"/>
      <c r="Y99" s="15"/>
      <c r="Z99" s="32"/>
      <c r="AA99" s="18"/>
      <c r="AB99" s="57"/>
      <c r="AC99" s="4">
        <f>SUM(AO99:AO101)</f>
        <v>0</v>
      </c>
      <c r="AI99">
        <f>_xlfn.IFNA(MATCH(Legends!$B$5, L99:AA99,0), 999)</f>
        <v>999</v>
      </c>
      <c r="AJ99">
        <f>_xlfn.IFNA(MATCH(Legends!$B$8, L99:AA99,0), 999)</f>
        <v>999</v>
      </c>
      <c r="AK99">
        <f>_xlfn.IFNA(MATCH(Legends!$B$9, L99:AA99,0), 999)</f>
        <v>999</v>
      </c>
      <c r="AL99">
        <f>_xlfn.IFNA(MATCH(Legends!$B$6, L99:AA99,0),999)</f>
        <v>999</v>
      </c>
      <c r="AM99">
        <f>_xlfn.IFNA(MATCH(Legends!$B$7, 'Advisor View'!L99:AA99, 0), 999)</f>
        <v>999</v>
      </c>
      <c r="AN99">
        <f t="shared" si="25"/>
        <v>999</v>
      </c>
      <c r="AO99">
        <f t="shared" si="26"/>
        <v>0</v>
      </c>
      <c r="AP99">
        <f t="shared" si="27"/>
        <v>0</v>
      </c>
      <c r="AQ99">
        <f t="shared" si="28"/>
        <v>0</v>
      </c>
      <c r="AR99">
        <f t="shared" si="29"/>
        <v>0</v>
      </c>
      <c r="AS99">
        <f t="shared" si="30"/>
        <v>0</v>
      </c>
      <c r="AT99">
        <f t="shared" si="31"/>
        <v>0</v>
      </c>
      <c r="AU99">
        <f t="shared" si="32"/>
        <v>0</v>
      </c>
      <c r="AV99">
        <f t="shared" si="33"/>
        <v>0</v>
      </c>
    </row>
    <row r="100" spans="1:48" x14ac:dyDescent="0.45">
      <c r="A100" s="207"/>
      <c r="B100" s="234"/>
      <c r="C100" s="21"/>
      <c r="D100" s="21"/>
      <c r="E100" s="21"/>
      <c r="F100" s="21"/>
      <c r="G100" s="21"/>
      <c r="H100" s="24"/>
      <c r="I100" s="24"/>
      <c r="J100" s="24" t="s">
        <v>4</v>
      </c>
      <c r="K100" s="24" t="s">
        <v>4</v>
      </c>
      <c r="L100" s="23"/>
      <c r="M100" s="27"/>
      <c r="N100" s="33"/>
      <c r="O100" s="29"/>
      <c r="P100" s="27"/>
      <c r="Q100" s="33"/>
      <c r="R100" s="29"/>
      <c r="S100" s="27"/>
      <c r="T100" s="33"/>
      <c r="U100" s="29"/>
      <c r="V100" s="27"/>
      <c r="W100" s="33"/>
      <c r="X100" s="29"/>
      <c r="Y100" s="27"/>
      <c r="Z100" s="33"/>
      <c r="AA100" s="30"/>
      <c r="AB100" s="58"/>
      <c r="AC100" s="4" t="s">
        <v>29</v>
      </c>
      <c r="AI100">
        <f>_xlfn.IFNA(MATCH(Legends!$B$5, L100:AA100,0), 999)</f>
        <v>999</v>
      </c>
      <c r="AJ100">
        <f>_xlfn.IFNA(MATCH(Legends!$B$8, L100:AA100,0), 999)</f>
        <v>999</v>
      </c>
      <c r="AK100">
        <f>_xlfn.IFNA(MATCH(Legends!$B$9, L100:AA100,0), 999)</f>
        <v>999</v>
      </c>
      <c r="AL100">
        <f>_xlfn.IFNA(MATCH(Legends!$B$6, L100:AA100,0),999)</f>
        <v>999</v>
      </c>
      <c r="AM100">
        <f>_xlfn.IFNA(MATCH(Legends!$B$7, 'Advisor View'!L100:AA100, 0), 999)</f>
        <v>999</v>
      </c>
      <c r="AN100">
        <f t="shared" si="25"/>
        <v>999</v>
      </c>
      <c r="AO100">
        <f t="shared" si="26"/>
        <v>0</v>
      </c>
      <c r="AP100">
        <f t="shared" si="27"/>
        <v>0</v>
      </c>
      <c r="AQ100">
        <f t="shared" si="28"/>
        <v>0</v>
      </c>
      <c r="AR100">
        <f t="shared" si="29"/>
        <v>0</v>
      </c>
      <c r="AS100">
        <f t="shared" si="30"/>
        <v>0</v>
      </c>
      <c r="AT100">
        <f t="shared" si="31"/>
        <v>0</v>
      </c>
      <c r="AU100">
        <f t="shared" si="32"/>
        <v>0</v>
      </c>
      <c r="AV100">
        <f t="shared" si="33"/>
        <v>0</v>
      </c>
    </row>
    <row r="101" spans="1:48" ht="14.65" thickBot="1" x14ac:dyDescent="0.5">
      <c r="A101" s="207"/>
      <c r="B101" s="235"/>
      <c r="C101" s="59"/>
      <c r="D101" s="59"/>
      <c r="E101" s="59"/>
      <c r="F101" s="59"/>
      <c r="G101" s="59"/>
      <c r="H101" s="13"/>
      <c r="I101" s="13"/>
      <c r="J101" s="13" t="s">
        <v>4</v>
      </c>
      <c r="K101" s="13" t="s">
        <v>4</v>
      </c>
      <c r="L101" s="12"/>
      <c r="M101" s="15"/>
      <c r="N101" s="32"/>
      <c r="O101" s="17"/>
      <c r="P101" s="15"/>
      <c r="Q101" s="32"/>
      <c r="R101" s="17"/>
      <c r="S101" s="15"/>
      <c r="T101" s="32"/>
      <c r="U101" s="17"/>
      <c r="V101" s="15"/>
      <c r="W101" s="32"/>
      <c r="X101" s="17"/>
      <c r="Y101" s="15"/>
      <c r="Z101" s="32"/>
      <c r="AA101" s="18"/>
      <c r="AB101" s="60"/>
      <c r="AC101" s="61">
        <v>0</v>
      </c>
      <c r="AI101">
        <f>_xlfn.IFNA(MATCH(Legends!$B$5, L101:AA101,0), 999)</f>
        <v>999</v>
      </c>
      <c r="AJ101">
        <f>_xlfn.IFNA(MATCH(Legends!$B$8, L101:AA101,0), 999)</f>
        <v>999</v>
      </c>
      <c r="AK101">
        <f>_xlfn.IFNA(MATCH(Legends!$B$9, L101:AA101,0), 999)</f>
        <v>999</v>
      </c>
      <c r="AL101">
        <f>_xlfn.IFNA(MATCH(Legends!$B$6, L101:AA101,0),999)</f>
        <v>999</v>
      </c>
      <c r="AM101">
        <f>_xlfn.IFNA(MATCH(Legends!$B$7, 'Advisor View'!L101:AA101, 0), 999)</f>
        <v>999</v>
      </c>
      <c r="AN101">
        <f t="shared" si="25"/>
        <v>999</v>
      </c>
      <c r="AO101">
        <f t="shared" si="26"/>
        <v>0</v>
      </c>
      <c r="AP101">
        <f t="shared" si="27"/>
        <v>0</v>
      </c>
      <c r="AQ101">
        <f t="shared" si="28"/>
        <v>0</v>
      </c>
      <c r="AR101">
        <f t="shared" si="29"/>
        <v>0</v>
      </c>
      <c r="AS101">
        <f t="shared" si="30"/>
        <v>0</v>
      </c>
      <c r="AT101">
        <f t="shared" si="31"/>
        <v>0</v>
      </c>
      <c r="AU101">
        <f t="shared" si="32"/>
        <v>0</v>
      </c>
      <c r="AV101">
        <f t="shared" si="33"/>
        <v>0</v>
      </c>
    </row>
    <row r="102" spans="1:48" ht="14.25" customHeight="1" x14ac:dyDescent="0.45">
      <c r="A102" s="207"/>
      <c r="B102" s="209"/>
      <c r="C102" s="218" t="s">
        <v>0</v>
      </c>
      <c r="D102" s="215" t="s">
        <v>40</v>
      </c>
      <c r="E102" s="216"/>
      <c r="F102" s="216"/>
      <c r="G102" s="217"/>
      <c r="H102" s="211" t="s">
        <v>7</v>
      </c>
      <c r="I102" s="211"/>
      <c r="J102" s="211" t="s">
        <v>8</v>
      </c>
      <c r="K102" s="211"/>
      <c r="L102" s="212" t="s">
        <v>22</v>
      </c>
      <c r="M102" s="211" t="s">
        <v>127</v>
      </c>
      <c r="N102" s="211"/>
      <c r="O102" s="211"/>
      <c r="P102" s="211" t="s">
        <v>128</v>
      </c>
      <c r="Q102" s="211"/>
      <c r="R102" s="211"/>
      <c r="S102" s="211" t="s">
        <v>129</v>
      </c>
      <c r="T102" s="211"/>
      <c r="U102" s="211"/>
      <c r="V102" s="211" t="s">
        <v>130</v>
      </c>
      <c r="W102" s="211"/>
      <c r="X102" s="211"/>
      <c r="Y102" s="211" t="s">
        <v>131</v>
      </c>
      <c r="Z102" s="211"/>
      <c r="AA102" s="211"/>
      <c r="AB102" s="252" t="s">
        <v>21</v>
      </c>
      <c r="AC102" s="248" t="s">
        <v>28</v>
      </c>
      <c r="AI102" s="98">
        <v>999</v>
      </c>
      <c r="AJ102" s="98">
        <v>999</v>
      </c>
      <c r="AK102" s="98">
        <v>999</v>
      </c>
      <c r="AL102" s="98">
        <v>999</v>
      </c>
      <c r="AM102" s="98">
        <v>999</v>
      </c>
    </row>
    <row r="103" spans="1:48" ht="14.65" thickBot="1" x14ac:dyDescent="0.5">
      <c r="A103" s="207"/>
      <c r="B103" s="210"/>
      <c r="C103" s="219"/>
      <c r="D103" s="132" t="s">
        <v>1</v>
      </c>
      <c r="E103" s="132" t="s">
        <v>9</v>
      </c>
      <c r="F103" s="132" t="s">
        <v>10</v>
      </c>
      <c r="G103" s="124" t="s">
        <v>2</v>
      </c>
      <c r="H103" s="124">
        <v>1</v>
      </c>
      <c r="I103" s="124">
        <v>2</v>
      </c>
      <c r="J103" s="124">
        <v>1</v>
      </c>
      <c r="K103" s="124">
        <v>2</v>
      </c>
      <c r="L103" s="213"/>
      <c r="M103" s="124" t="s">
        <v>9</v>
      </c>
      <c r="N103" s="124" t="s">
        <v>10</v>
      </c>
      <c r="O103" s="133" t="s">
        <v>11</v>
      </c>
      <c r="P103" s="124" t="s">
        <v>9</v>
      </c>
      <c r="Q103" s="124" t="s">
        <v>10</v>
      </c>
      <c r="R103" s="133" t="s">
        <v>11</v>
      </c>
      <c r="S103" s="124" t="s">
        <v>9</v>
      </c>
      <c r="T103" s="124" t="s">
        <v>10</v>
      </c>
      <c r="U103" s="133" t="s">
        <v>11</v>
      </c>
      <c r="V103" s="124" t="s">
        <v>9</v>
      </c>
      <c r="W103" s="124" t="s">
        <v>10</v>
      </c>
      <c r="X103" s="133" t="s">
        <v>11</v>
      </c>
      <c r="Y103" s="124" t="s">
        <v>9</v>
      </c>
      <c r="Z103" s="124" t="s">
        <v>10</v>
      </c>
      <c r="AA103" s="133" t="s">
        <v>11</v>
      </c>
      <c r="AB103" s="253"/>
      <c r="AC103" s="249"/>
      <c r="AI103" s="98">
        <v>999</v>
      </c>
      <c r="AJ103" s="98">
        <v>999</v>
      </c>
      <c r="AK103" s="98">
        <v>999</v>
      </c>
      <c r="AL103" s="98">
        <v>999</v>
      </c>
      <c r="AM103" s="98">
        <v>999</v>
      </c>
    </row>
    <row r="104" spans="1:48" ht="14.25" customHeight="1" x14ac:dyDescent="0.45">
      <c r="A104" s="207"/>
      <c r="B104" s="233" t="s">
        <v>41</v>
      </c>
      <c r="C104" s="10"/>
      <c r="D104" s="10"/>
      <c r="E104" s="10"/>
      <c r="F104" s="10"/>
      <c r="G104" s="10"/>
      <c r="H104" s="13"/>
      <c r="I104" s="13"/>
      <c r="J104" s="13"/>
      <c r="K104" s="13"/>
      <c r="L104" s="12"/>
      <c r="M104" s="15"/>
      <c r="N104" s="32"/>
      <c r="O104" s="17"/>
      <c r="P104" s="15"/>
      <c r="Q104" s="32"/>
      <c r="R104" s="17"/>
      <c r="S104" s="15"/>
      <c r="T104" s="32"/>
      <c r="U104" s="17"/>
      <c r="V104" s="15"/>
      <c r="W104" s="32"/>
      <c r="X104" s="17"/>
      <c r="Y104" s="15"/>
      <c r="Z104" s="32"/>
      <c r="AA104" s="18"/>
      <c r="AB104" s="57"/>
      <c r="AC104" s="4">
        <f>SUM(AO104:AO113)</f>
        <v>0</v>
      </c>
      <c r="AI104">
        <f>_xlfn.IFNA(MATCH(Legends!$B$5, L104:AA104,0), 999)</f>
        <v>999</v>
      </c>
      <c r="AJ104">
        <f>_xlfn.IFNA(MATCH(Legends!$B$8, L104:AA104,0), 999)</f>
        <v>999</v>
      </c>
      <c r="AK104">
        <f>_xlfn.IFNA(MATCH(Legends!$B$9, L104:AA104,0), 999)</f>
        <v>999</v>
      </c>
      <c r="AL104">
        <f>_xlfn.IFNA(MATCH(Legends!$B$6, L104:AA104,0),999)</f>
        <v>999</v>
      </c>
      <c r="AM104">
        <f>_xlfn.IFNA(MATCH(Legends!$B$7, 'Advisor View'!L104:AA104, 0), 999)</f>
        <v>999</v>
      </c>
      <c r="AN104">
        <f t="shared" si="25"/>
        <v>999</v>
      </c>
      <c r="AO104">
        <f t="shared" si="26"/>
        <v>0</v>
      </c>
      <c r="AP104">
        <f t="shared" si="27"/>
        <v>0</v>
      </c>
      <c r="AQ104">
        <f t="shared" si="28"/>
        <v>0</v>
      </c>
      <c r="AR104">
        <f t="shared" si="29"/>
        <v>0</v>
      </c>
      <c r="AS104">
        <f t="shared" si="30"/>
        <v>0</v>
      </c>
      <c r="AT104">
        <f t="shared" si="31"/>
        <v>0</v>
      </c>
      <c r="AU104">
        <f t="shared" si="32"/>
        <v>0</v>
      </c>
      <c r="AV104">
        <f t="shared" si="33"/>
        <v>0</v>
      </c>
    </row>
    <row r="105" spans="1:48" x14ac:dyDescent="0.45">
      <c r="A105" s="207"/>
      <c r="B105" s="234"/>
      <c r="C105" s="21"/>
      <c r="D105" s="21"/>
      <c r="E105" s="21"/>
      <c r="F105" s="21"/>
      <c r="G105" s="21"/>
      <c r="H105" s="24"/>
      <c r="I105" s="24"/>
      <c r="J105" s="24"/>
      <c r="K105" s="24"/>
      <c r="L105" s="23"/>
      <c r="M105" s="27"/>
      <c r="N105" s="33"/>
      <c r="O105" s="29"/>
      <c r="P105" s="27"/>
      <c r="Q105" s="33"/>
      <c r="R105" s="29"/>
      <c r="S105" s="27"/>
      <c r="T105" s="33"/>
      <c r="U105" s="29"/>
      <c r="V105" s="27"/>
      <c r="W105" s="33"/>
      <c r="X105" s="29"/>
      <c r="Y105" s="27"/>
      <c r="Z105" s="33"/>
      <c r="AA105" s="30"/>
      <c r="AB105" s="58"/>
      <c r="AC105" s="4"/>
      <c r="AI105">
        <f>_xlfn.IFNA(MATCH(Legends!$B$5, L105:AA105,0), 999)</f>
        <v>999</v>
      </c>
      <c r="AJ105">
        <f>_xlfn.IFNA(MATCH(Legends!$B$8, L105:AA105,0), 999)</f>
        <v>999</v>
      </c>
      <c r="AK105">
        <f>_xlfn.IFNA(MATCH(Legends!$B$9, L105:AA105,0), 999)</f>
        <v>999</v>
      </c>
      <c r="AL105">
        <f>_xlfn.IFNA(MATCH(Legends!$B$6, L105:AA105,0),999)</f>
        <v>999</v>
      </c>
      <c r="AM105">
        <f>_xlfn.IFNA(MATCH(Legends!$B$7, 'Advisor View'!L105:AA105, 0), 999)</f>
        <v>999</v>
      </c>
      <c r="AN105">
        <f t="shared" si="25"/>
        <v>999</v>
      </c>
      <c r="AO105">
        <f t="shared" si="26"/>
        <v>0</v>
      </c>
      <c r="AP105">
        <f t="shared" si="27"/>
        <v>0</v>
      </c>
      <c r="AQ105">
        <f t="shared" si="28"/>
        <v>0</v>
      </c>
      <c r="AR105">
        <f t="shared" si="29"/>
        <v>0</v>
      </c>
      <c r="AS105">
        <f t="shared" si="30"/>
        <v>0</v>
      </c>
      <c r="AT105">
        <f t="shared" si="31"/>
        <v>0</v>
      </c>
      <c r="AU105">
        <f t="shared" si="32"/>
        <v>0</v>
      </c>
      <c r="AV105">
        <f t="shared" si="33"/>
        <v>0</v>
      </c>
    </row>
    <row r="106" spans="1:48" x14ac:dyDescent="0.45">
      <c r="A106" s="207"/>
      <c r="B106" s="234"/>
      <c r="C106" s="10"/>
      <c r="D106" s="10"/>
      <c r="E106" s="10"/>
      <c r="F106" s="10"/>
      <c r="G106" s="10"/>
      <c r="H106" s="13"/>
      <c r="I106" s="13"/>
      <c r="J106" s="13"/>
      <c r="K106" s="13"/>
      <c r="L106" s="12"/>
      <c r="M106" s="15"/>
      <c r="N106" s="32"/>
      <c r="O106" s="17"/>
      <c r="P106" s="15"/>
      <c r="Q106" s="32"/>
      <c r="R106" s="17"/>
      <c r="S106" s="15"/>
      <c r="T106" s="32"/>
      <c r="U106" s="17"/>
      <c r="V106" s="15"/>
      <c r="W106" s="32"/>
      <c r="X106" s="17"/>
      <c r="Y106" s="15"/>
      <c r="Z106" s="32"/>
      <c r="AA106" s="18"/>
      <c r="AB106" s="57"/>
      <c r="AC106" s="4"/>
      <c r="AI106">
        <f>_xlfn.IFNA(MATCH(Legends!$B$5, L106:AA106,0), 999)</f>
        <v>999</v>
      </c>
      <c r="AJ106">
        <f>_xlfn.IFNA(MATCH(Legends!$B$8, L106:AA106,0), 999)</f>
        <v>999</v>
      </c>
      <c r="AK106">
        <f>_xlfn.IFNA(MATCH(Legends!$B$9, L106:AA106,0), 999)</f>
        <v>999</v>
      </c>
      <c r="AL106">
        <f>_xlfn.IFNA(MATCH(Legends!$B$6, L106:AA106,0),999)</f>
        <v>999</v>
      </c>
      <c r="AM106">
        <f>_xlfn.IFNA(MATCH(Legends!$B$7, 'Advisor View'!L106:AA106, 0), 999)</f>
        <v>999</v>
      </c>
      <c r="AN106">
        <f t="shared" si="25"/>
        <v>999</v>
      </c>
      <c r="AO106">
        <f t="shared" si="26"/>
        <v>0</v>
      </c>
      <c r="AP106">
        <f t="shared" si="27"/>
        <v>0</v>
      </c>
      <c r="AQ106">
        <f t="shared" si="28"/>
        <v>0</v>
      </c>
      <c r="AR106">
        <f t="shared" si="29"/>
        <v>0</v>
      </c>
      <c r="AS106">
        <f t="shared" si="30"/>
        <v>0</v>
      </c>
      <c r="AT106">
        <f t="shared" si="31"/>
        <v>0</v>
      </c>
      <c r="AU106">
        <f t="shared" si="32"/>
        <v>0</v>
      </c>
      <c r="AV106">
        <f t="shared" si="33"/>
        <v>0</v>
      </c>
    </row>
    <row r="107" spans="1:48" x14ac:dyDescent="0.45">
      <c r="A107" s="207"/>
      <c r="B107" s="234"/>
      <c r="C107" s="21"/>
      <c r="D107" s="21"/>
      <c r="E107" s="21"/>
      <c r="F107" s="21"/>
      <c r="G107" s="21"/>
      <c r="H107" s="24"/>
      <c r="I107" s="24"/>
      <c r="J107" s="24"/>
      <c r="K107" s="24"/>
      <c r="L107" s="23"/>
      <c r="M107" s="27"/>
      <c r="N107" s="33"/>
      <c r="O107" s="29"/>
      <c r="P107" s="27"/>
      <c r="Q107" s="33"/>
      <c r="R107" s="29"/>
      <c r="S107" s="27"/>
      <c r="T107" s="33"/>
      <c r="U107" s="29"/>
      <c r="V107" s="27"/>
      <c r="W107" s="33"/>
      <c r="X107" s="29"/>
      <c r="Y107" s="27"/>
      <c r="Z107" s="33"/>
      <c r="AA107" s="30"/>
      <c r="AB107" s="58"/>
      <c r="AC107" s="4"/>
      <c r="AI107">
        <f>_xlfn.IFNA(MATCH(Legends!$B$5, L107:AA107,0), 999)</f>
        <v>999</v>
      </c>
      <c r="AJ107">
        <f>_xlfn.IFNA(MATCH(Legends!$B$8, L107:AA107,0), 999)</f>
        <v>999</v>
      </c>
      <c r="AK107">
        <f>_xlfn.IFNA(MATCH(Legends!$B$9, L107:AA107,0), 999)</f>
        <v>999</v>
      </c>
      <c r="AL107">
        <f>_xlfn.IFNA(MATCH(Legends!$B$6, L107:AA107,0),999)</f>
        <v>999</v>
      </c>
      <c r="AM107">
        <f>_xlfn.IFNA(MATCH(Legends!$B$7, 'Advisor View'!L107:AA107, 0), 999)</f>
        <v>999</v>
      </c>
      <c r="AN107">
        <f t="shared" si="25"/>
        <v>999</v>
      </c>
      <c r="AO107">
        <f t="shared" si="26"/>
        <v>0</v>
      </c>
      <c r="AP107">
        <f t="shared" si="27"/>
        <v>0</v>
      </c>
      <c r="AQ107">
        <f t="shared" si="28"/>
        <v>0</v>
      </c>
      <c r="AR107">
        <f t="shared" si="29"/>
        <v>0</v>
      </c>
      <c r="AS107">
        <f t="shared" si="30"/>
        <v>0</v>
      </c>
      <c r="AT107">
        <f t="shared" si="31"/>
        <v>0</v>
      </c>
      <c r="AU107">
        <f t="shared" si="32"/>
        <v>0</v>
      </c>
      <c r="AV107">
        <f t="shared" si="33"/>
        <v>0</v>
      </c>
    </row>
    <row r="108" spans="1:48" x14ac:dyDescent="0.45">
      <c r="A108" s="207"/>
      <c r="B108" s="234"/>
      <c r="C108" s="10"/>
      <c r="D108" s="10"/>
      <c r="E108" s="10"/>
      <c r="F108" s="10"/>
      <c r="G108" s="10"/>
      <c r="H108" s="13"/>
      <c r="I108" s="13"/>
      <c r="J108" s="13"/>
      <c r="K108" s="13"/>
      <c r="L108" s="12"/>
      <c r="M108" s="15"/>
      <c r="N108" s="32"/>
      <c r="O108" s="17"/>
      <c r="P108" s="15"/>
      <c r="Q108" s="32"/>
      <c r="R108" s="17"/>
      <c r="S108" s="15"/>
      <c r="T108" s="32"/>
      <c r="U108" s="17"/>
      <c r="V108" s="15"/>
      <c r="W108" s="32"/>
      <c r="X108" s="17"/>
      <c r="Y108" s="15"/>
      <c r="Z108" s="32"/>
      <c r="AA108" s="18"/>
      <c r="AB108" s="57"/>
      <c r="AC108" s="4"/>
      <c r="AI108">
        <f>_xlfn.IFNA(MATCH(Legends!$B$5, L108:AA108,0), 999)</f>
        <v>999</v>
      </c>
      <c r="AJ108">
        <f>_xlfn.IFNA(MATCH(Legends!$B$8, L108:AA108,0), 999)</f>
        <v>999</v>
      </c>
      <c r="AK108">
        <f>_xlfn.IFNA(MATCH(Legends!$B$9, L108:AA108,0), 999)</f>
        <v>999</v>
      </c>
      <c r="AL108">
        <f>_xlfn.IFNA(MATCH(Legends!$B$6, L108:AA108,0),999)</f>
        <v>999</v>
      </c>
      <c r="AM108">
        <f>_xlfn.IFNA(MATCH(Legends!$B$7, 'Advisor View'!L108:AA108, 0), 999)</f>
        <v>999</v>
      </c>
      <c r="AN108">
        <f t="shared" si="25"/>
        <v>999</v>
      </c>
      <c r="AO108">
        <f t="shared" si="26"/>
        <v>0</v>
      </c>
      <c r="AP108">
        <f t="shared" si="27"/>
        <v>0</v>
      </c>
      <c r="AQ108">
        <f t="shared" si="28"/>
        <v>0</v>
      </c>
      <c r="AR108">
        <f t="shared" si="29"/>
        <v>0</v>
      </c>
      <c r="AS108">
        <f t="shared" si="30"/>
        <v>0</v>
      </c>
      <c r="AT108">
        <f t="shared" si="31"/>
        <v>0</v>
      </c>
      <c r="AU108">
        <f t="shared" si="32"/>
        <v>0</v>
      </c>
      <c r="AV108">
        <f t="shared" si="33"/>
        <v>0</v>
      </c>
    </row>
    <row r="109" spans="1:48" x14ac:dyDescent="0.45">
      <c r="A109" s="207"/>
      <c r="B109" s="234"/>
      <c r="C109" s="21"/>
      <c r="D109" s="21"/>
      <c r="E109" s="21"/>
      <c r="F109" s="21"/>
      <c r="G109" s="21"/>
      <c r="H109" s="24"/>
      <c r="I109" s="24"/>
      <c r="J109" s="24"/>
      <c r="K109" s="24"/>
      <c r="L109" s="23"/>
      <c r="M109" s="27"/>
      <c r="N109" s="33"/>
      <c r="O109" s="29"/>
      <c r="P109" s="27"/>
      <c r="Q109" s="33"/>
      <c r="R109" s="29"/>
      <c r="S109" s="27"/>
      <c r="T109" s="33"/>
      <c r="U109" s="29"/>
      <c r="V109" s="27"/>
      <c r="W109" s="33"/>
      <c r="X109" s="29"/>
      <c r="Y109" s="27"/>
      <c r="Z109" s="33"/>
      <c r="AA109" s="30"/>
      <c r="AB109" s="58"/>
      <c r="AC109" s="4"/>
      <c r="AI109">
        <f>_xlfn.IFNA(MATCH(Legends!$B$5, L109:AA109,0), 999)</f>
        <v>999</v>
      </c>
      <c r="AJ109">
        <f>_xlfn.IFNA(MATCH(Legends!$B$8, L109:AA109,0), 999)</f>
        <v>999</v>
      </c>
      <c r="AK109">
        <f>_xlfn.IFNA(MATCH(Legends!$B$9, L109:AA109,0), 999)</f>
        <v>999</v>
      </c>
      <c r="AL109">
        <f>_xlfn.IFNA(MATCH(Legends!$B$6, L109:AA109,0),999)</f>
        <v>999</v>
      </c>
      <c r="AM109">
        <f>_xlfn.IFNA(MATCH(Legends!$B$7, 'Advisor View'!L109:AA109, 0), 999)</f>
        <v>999</v>
      </c>
      <c r="AN109">
        <f t="shared" si="25"/>
        <v>999</v>
      </c>
      <c r="AO109">
        <f t="shared" si="26"/>
        <v>0</v>
      </c>
      <c r="AP109">
        <f t="shared" si="27"/>
        <v>0</v>
      </c>
      <c r="AQ109">
        <f t="shared" si="28"/>
        <v>0</v>
      </c>
      <c r="AR109">
        <f t="shared" si="29"/>
        <v>0</v>
      </c>
      <c r="AS109">
        <f t="shared" si="30"/>
        <v>0</v>
      </c>
      <c r="AT109">
        <f t="shared" si="31"/>
        <v>0</v>
      </c>
      <c r="AU109">
        <f t="shared" si="32"/>
        <v>0</v>
      </c>
      <c r="AV109">
        <f t="shared" si="33"/>
        <v>0</v>
      </c>
    </row>
    <row r="110" spans="1:48" x14ac:dyDescent="0.45">
      <c r="A110" s="207"/>
      <c r="B110" s="234"/>
      <c r="C110" s="10"/>
      <c r="D110" s="10"/>
      <c r="E110" s="10"/>
      <c r="F110" s="10"/>
      <c r="G110" s="10"/>
      <c r="H110" s="13"/>
      <c r="I110" s="13"/>
      <c r="J110" s="13"/>
      <c r="K110" s="13"/>
      <c r="L110" s="12"/>
      <c r="M110" s="15"/>
      <c r="N110" s="32"/>
      <c r="O110" s="17"/>
      <c r="P110" s="15"/>
      <c r="Q110" s="32"/>
      <c r="R110" s="17"/>
      <c r="S110" s="15"/>
      <c r="T110" s="32"/>
      <c r="U110" s="17"/>
      <c r="V110" s="15"/>
      <c r="W110" s="32"/>
      <c r="X110" s="17"/>
      <c r="Y110" s="15"/>
      <c r="Z110" s="32"/>
      <c r="AA110" s="18"/>
      <c r="AB110" s="57"/>
      <c r="AC110" s="4"/>
      <c r="AI110">
        <f>_xlfn.IFNA(MATCH(Legends!$B$5, L110:AA110,0), 999)</f>
        <v>999</v>
      </c>
      <c r="AJ110">
        <f>_xlfn.IFNA(MATCH(Legends!$B$8, L110:AA110,0), 999)</f>
        <v>999</v>
      </c>
      <c r="AK110">
        <f>_xlfn.IFNA(MATCH(Legends!$B$9, L110:AA110,0), 999)</f>
        <v>999</v>
      </c>
      <c r="AL110">
        <f>_xlfn.IFNA(MATCH(Legends!$B$6, L110:AA110,0),999)</f>
        <v>999</v>
      </c>
      <c r="AM110">
        <f>_xlfn.IFNA(MATCH(Legends!$B$7, 'Advisor View'!L110:AA110, 0), 999)</f>
        <v>999</v>
      </c>
      <c r="AN110">
        <f t="shared" si="25"/>
        <v>999</v>
      </c>
      <c r="AO110">
        <f t="shared" si="26"/>
        <v>0</v>
      </c>
      <c r="AP110">
        <f t="shared" si="27"/>
        <v>0</v>
      </c>
      <c r="AQ110">
        <f t="shared" si="28"/>
        <v>0</v>
      </c>
      <c r="AR110">
        <f t="shared" si="29"/>
        <v>0</v>
      </c>
      <c r="AS110">
        <f t="shared" si="30"/>
        <v>0</v>
      </c>
      <c r="AT110">
        <f t="shared" si="31"/>
        <v>0</v>
      </c>
      <c r="AU110">
        <f t="shared" si="32"/>
        <v>0</v>
      </c>
      <c r="AV110">
        <f t="shared" si="33"/>
        <v>0</v>
      </c>
    </row>
    <row r="111" spans="1:48" x14ac:dyDescent="0.45">
      <c r="A111" s="207"/>
      <c r="B111" s="234"/>
      <c r="C111" s="21"/>
      <c r="D111" s="21"/>
      <c r="E111" s="21"/>
      <c r="F111" s="21"/>
      <c r="G111" s="21"/>
      <c r="H111" s="24"/>
      <c r="I111" s="24"/>
      <c r="J111" s="24"/>
      <c r="K111" s="24"/>
      <c r="L111" s="23"/>
      <c r="M111" s="27"/>
      <c r="N111" s="33"/>
      <c r="O111" s="29"/>
      <c r="P111" s="27"/>
      <c r="Q111" s="33"/>
      <c r="R111" s="29"/>
      <c r="S111" s="27"/>
      <c r="T111" s="33"/>
      <c r="U111" s="29"/>
      <c r="V111" s="27"/>
      <c r="W111" s="33"/>
      <c r="X111" s="29"/>
      <c r="Y111" s="27"/>
      <c r="Z111" s="33"/>
      <c r="AA111" s="30"/>
      <c r="AB111" s="58"/>
      <c r="AC111" s="4"/>
      <c r="AI111">
        <f>_xlfn.IFNA(MATCH(Legends!$B$5, L111:AA111,0), 999)</f>
        <v>999</v>
      </c>
      <c r="AJ111">
        <f>_xlfn.IFNA(MATCH(Legends!$B$8, L111:AA111,0), 999)</f>
        <v>999</v>
      </c>
      <c r="AK111">
        <f>_xlfn.IFNA(MATCH(Legends!$B$9, L111:AA111,0), 999)</f>
        <v>999</v>
      </c>
      <c r="AL111">
        <f>_xlfn.IFNA(MATCH(Legends!$B$6, L111:AA111,0),999)</f>
        <v>999</v>
      </c>
      <c r="AM111">
        <f>_xlfn.IFNA(MATCH(Legends!$B$7, 'Advisor View'!L111:AA111, 0), 999)</f>
        <v>999</v>
      </c>
      <c r="AN111">
        <f t="shared" si="25"/>
        <v>999</v>
      </c>
      <c r="AO111">
        <f t="shared" si="26"/>
        <v>0</v>
      </c>
      <c r="AP111">
        <f t="shared" si="27"/>
        <v>0</v>
      </c>
      <c r="AQ111">
        <f t="shared" si="28"/>
        <v>0</v>
      </c>
      <c r="AR111">
        <f t="shared" si="29"/>
        <v>0</v>
      </c>
      <c r="AS111">
        <f t="shared" si="30"/>
        <v>0</v>
      </c>
      <c r="AT111">
        <f t="shared" si="31"/>
        <v>0</v>
      </c>
      <c r="AU111">
        <f t="shared" si="32"/>
        <v>0</v>
      </c>
      <c r="AV111">
        <f t="shared" si="33"/>
        <v>0</v>
      </c>
    </row>
    <row r="112" spans="1:48" x14ac:dyDescent="0.45">
      <c r="A112" s="207"/>
      <c r="B112" s="234"/>
      <c r="C112" s="10"/>
      <c r="D112" s="10"/>
      <c r="E112" s="10"/>
      <c r="F112" s="10"/>
      <c r="G112" s="10"/>
      <c r="H112" s="13"/>
      <c r="I112" s="13"/>
      <c r="J112" s="13"/>
      <c r="K112" s="13"/>
      <c r="L112" s="12"/>
      <c r="M112" s="15"/>
      <c r="N112" s="32"/>
      <c r="O112" s="17"/>
      <c r="P112" s="15"/>
      <c r="Q112" s="32"/>
      <c r="R112" s="17"/>
      <c r="S112" s="15"/>
      <c r="T112" s="32"/>
      <c r="U112" s="17"/>
      <c r="V112" s="15"/>
      <c r="W112" s="32"/>
      <c r="X112" s="17"/>
      <c r="Y112" s="15"/>
      <c r="Z112" s="32"/>
      <c r="AA112" s="18"/>
      <c r="AB112" s="57"/>
      <c r="AC112" s="4" t="s">
        <v>29</v>
      </c>
      <c r="AI112">
        <f>_xlfn.IFNA(MATCH(Legends!$B$5, L112:AA112,0), 999)</f>
        <v>999</v>
      </c>
      <c r="AJ112">
        <f>_xlfn.IFNA(MATCH(Legends!$B$8, L112:AA112,0), 999)</f>
        <v>999</v>
      </c>
      <c r="AK112">
        <f>_xlfn.IFNA(MATCH(Legends!$B$9, L112:AA112,0), 999)</f>
        <v>999</v>
      </c>
      <c r="AL112">
        <f>_xlfn.IFNA(MATCH(Legends!$B$6, L112:AA112,0),999)</f>
        <v>999</v>
      </c>
      <c r="AM112">
        <f>_xlfn.IFNA(MATCH(Legends!$B$7, 'Advisor View'!L112:AA112, 0), 999)</f>
        <v>999</v>
      </c>
      <c r="AN112">
        <f t="shared" si="25"/>
        <v>999</v>
      </c>
      <c r="AO112">
        <f t="shared" si="26"/>
        <v>0</v>
      </c>
      <c r="AP112">
        <f t="shared" si="27"/>
        <v>0</v>
      </c>
      <c r="AQ112">
        <f t="shared" si="28"/>
        <v>0</v>
      </c>
      <c r="AR112">
        <f t="shared" si="29"/>
        <v>0</v>
      </c>
      <c r="AS112">
        <f t="shared" si="30"/>
        <v>0</v>
      </c>
      <c r="AT112">
        <f t="shared" si="31"/>
        <v>0</v>
      </c>
      <c r="AU112">
        <f t="shared" si="32"/>
        <v>0</v>
      </c>
      <c r="AV112">
        <f t="shared" si="33"/>
        <v>0</v>
      </c>
    </row>
    <row r="113" spans="1:48" ht="14.65" thickBot="1" x14ac:dyDescent="0.5">
      <c r="A113" s="208"/>
      <c r="B113" s="235"/>
      <c r="C113" s="35"/>
      <c r="D113" s="35"/>
      <c r="E113" s="35"/>
      <c r="F113" s="35"/>
      <c r="G113" s="35"/>
      <c r="H113" s="38"/>
      <c r="I113" s="38"/>
      <c r="J113" s="38"/>
      <c r="K113" s="38"/>
      <c r="L113" s="37"/>
      <c r="M113" s="40"/>
      <c r="N113" s="41"/>
      <c r="O113" s="42"/>
      <c r="P113" s="40"/>
      <c r="Q113" s="41"/>
      <c r="R113" s="42"/>
      <c r="S113" s="40"/>
      <c r="T113" s="41"/>
      <c r="U113" s="42"/>
      <c r="V113" s="40"/>
      <c r="W113" s="41"/>
      <c r="X113" s="42"/>
      <c r="Y113" s="40"/>
      <c r="Z113" s="41"/>
      <c r="AA113" s="43"/>
      <c r="AB113" s="158"/>
      <c r="AC113" s="61">
        <v>4</v>
      </c>
      <c r="AI113">
        <f>_xlfn.IFNA(MATCH(Legends!$B$5, L113:AA113,0), 999)</f>
        <v>999</v>
      </c>
      <c r="AJ113">
        <f>_xlfn.IFNA(MATCH(Legends!$B$8, L113:AA113,0), 999)</f>
        <v>999</v>
      </c>
      <c r="AK113">
        <f>_xlfn.IFNA(MATCH(Legends!$B$9, L113:AA113,0), 999)</f>
        <v>999</v>
      </c>
      <c r="AL113">
        <f>_xlfn.IFNA(MATCH(Legends!$B$6, L113:AA113,0),999)</f>
        <v>999</v>
      </c>
      <c r="AM113">
        <f>_xlfn.IFNA(MATCH(Legends!$B$7, 'Advisor View'!L113:AA113, 0), 999)</f>
        <v>999</v>
      </c>
      <c r="AN113">
        <f t="shared" si="25"/>
        <v>999</v>
      </c>
      <c r="AO113">
        <f t="shared" si="26"/>
        <v>0</v>
      </c>
      <c r="AP113">
        <f t="shared" si="27"/>
        <v>0</v>
      </c>
      <c r="AQ113">
        <f t="shared" si="28"/>
        <v>0</v>
      </c>
      <c r="AR113">
        <f t="shared" si="29"/>
        <v>0</v>
      </c>
      <c r="AS113">
        <f t="shared" si="30"/>
        <v>0</v>
      </c>
      <c r="AT113">
        <f t="shared" si="31"/>
        <v>0</v>
      </c>
      <c r="AU113">
        <f t="shared" si="32"/>
        <v>0</v>
      </c>
      <c r="AV113">
        <f t="shared" si="33"/>
        <v>0</v>
      </c>
    </row>
    <row r="114" spans="1:48" ht="14.65" thickBot="1" x14ac:dyDescent="0.5">
      <c r="H114" s="230" t="s">
        <v>38</v>
      </c>
      <c r="I114" s="231"/>
      <c r="J114" s="231"/>
      <c r="K114" s="232"/>
      <c r="L114" s="62">
        <f>COUNTA(L5:L17,L20:L40,L43:L63,L79:L86,L99:L101,L104:L113,L66:L76,L89:L96)</f>
        <v>0</v>
      </c>
      <c r="M114" s="63">
        <f t="shared" ref="M114:AA114" si="34">COUNTA(M5:M17,M20:M40,M43:M63,M79:M86,M99:M101,M104:M113,M66:M76,M89:M96)</f>
        <v>4</v>
      </c>
      <c r="N114" s="64">
        <f t="shared" si="34"/>
        <v>3</v>
      </c>
      <c r="O114" s="65">
        <f t="shared" si="34"/>
        <v>0</v>
      </c>
      <c r="P114" s="63">
        <f t="shared" si="34"/>
        <v>4</v>
      </c>
      <c r="Q114" s="64">
        <f t="shared" si="34"/>
        <v>3</v>
      </c>
      <c r="R114" s="65">
        <f t="shared" si="34"/>
        <v>0</v>
      </c>
      <c r="S114" s="63">
        <f t="shared" si="34"/>
        <v>0</v>
      </c>
      <c r="T114" s="64">
        <f t="shared" si="34"/>
        <v>0</v>
      </c>
      <c r="U114" s="65">
        <f t="shared" si="34"/>
        <v>0</v>
      </c>
      <c r="V114" s="63">
        <f t="shared" si="34"/>
        <v>0</v>
      </c>
      <c r="W114" s="64">
        <f t="shared" si="34"/>
        <v>0</v>
      </c>
      <c r="X114" s="65">
        <f t="shared" si="34"/>
        <v>0</v>
      </c>
      <c r="Y114" s="63">
        <f t="shared" si="34"/>
        <v>0</v>
      </c>
      <c r="Z114" s="64">
        <f t="shared" si="34"/>
        <v>0</v>
      </c>
      <c r="AA114" s="66">
        <f t="shared" si="34"/>
        <v>0</v>
      </c>
    </row>
    <row r="115" spans="1:48" ht="14.65" thickBot="1" x14ac:dyDescent="0.5">
      <c r="H115" s="230" t="s">
        <v>48</v>
      </c>
      <c r="I115" s="231"/>
      <c r="J115" s="231"/>
      <c r="K115" s="232"/>
      <c r="L115" s="69" cm="1">
        <f t="array" ref="L115">SUM(IF(L5:L113="R",$G5:$G113,""))</f>
        <v>0</v>
      </c>
      <c r="M115" s="69" cm="1">
        <f t="array" ref="M115">SUM(IF(M5:M113="R",$G5:$G113,""))</f>
        <v>12</v>
      </c>
      <c r="N115" s="69" cm="1">
        <f t="array" ref="N115">SUM(IF(N5:N113="R",$G5:$G113,""))</f>
        <v>9</v>
      </c>
      <c r="O115" s="69" cm="1">
        <f t="array" ref="O115">SUM(IF(O5:O113="R",$G5:$G113,""))</f>
        <v>0</v>
      </c>
      <c r="P115" s="69" cm="1">
        <f t="array" ref="P115">SUM(IF(P5:P113="R",$G5:$G113,""))</f>
        <v>12</v>
      </c>
      <c r="Q115" s="69" cm="1">
        <f t="array" ref="Q115">SUM(IF(Q5:Q113="R",$G5:$G113,""))</f>
        <v>9</v>
      </c>
      <c r="R115" s="69" cm="1">
        <f t="array" ref="R115">SUM(IF(R5:R113="R",$G5:$G113,""))</f>
        <v>0</v>
      </c>
      <c r="S115" s="69" cm="1">
        <f t="array" ref="S115">SUM(IF(S5:S113="R",$G5:$G113,""))</f>
        <v>0</v>
      </c>
      <c r="T115" s="69" cm="1">
        <f t="array" ref="T115">SUM(IF(T5:T113="R",$G5:$G113,""))</f>
        <v>0</v>
      </c>
      <c r="U115" s="69" cm="1">
        <f t="array" ref="U115">SUM(IF(U5:U113="R",$G5:$G113,""))</f>
        <v>0</v>
      </c>
      <c r="V115" s="69" cm="1">
        <f t="array" ref="V115">SUM(IF(V5:V113="R",$G5:$G113,""))</f>
        <v>0</v>
      </c>
      <c r="W115" s="69" cm="1">
        <f t="array" ref="W115">SUM(IF(W5:W113="R",$G5:$G113,""))</f>
        <v>0</v>
      </c>
      <c r="X115" s="69" cm="1">
        <f t="array" ref="X115">SUM(IF(X5:X113="R",$G5:$G113,""))</f>
        <v>0</v>
      </c>
      <c r="Y115" s="69" cm="1">
        <f t="array" ref="Y115">SUM(IF(Y5:Y113="R",$G5:$G113,""))</f>
        <v>0</v>
      </c>
      <c r="Z115" s="69" cm="1">
        <f t="array" ref="Z115">SUM(IF(Z5:Z113="R",$G5:$G113,""))</f>
        <v>0</v>
      </c>
      <c r="AA115" s="69" cm="1">
        <f t="array" ref="AA115">SUM(IF(AA5:AA113="R",$G5:$G113,""))</f>
        <v>0</v>
      </c>
    </row>
    <row r="116" spans="1:48" ht="18.399999999999999" thickBot="1" x14ac:dyDescent="0.6">
      <c r="B116" s="6"/>
      <c r="C116" s="236" t="str">
        <f>CONCATENATE("NAME: ", 'Student Profile'!$C$2)</f>
        <v>NAME: CS Major</v>
      </c>
      <c r="D116" s="236"/>
      <c r="E116" s="236"/>
      <c r="F116" s="236"/>
      <c r="G116" s="236"/>
      <c r="H116" s="236" t="str">
        <f>CONCATENATE("Advisor: ",'Student Profile'!$C$5)</f>
        <v>Advisor: Dr. Grissom</v>
      </c>
      <c r="I116" s="236"/>
      <c r="J116" s="236"/>
      <c r="K116" s="236"/>
      <c r="L116" s="236" t="str">
        <f>CONCATENATE("Expected Graduation: ", 'Student Profile'!$C$10, " ", 'Student Profile'!$C$9)</f>
        <v>Expected Graduation: Spring 2029</v>
      </c>
      <c r="M116" s="236"/>
      <c r="N116" s="236"/>
      <c r="O116" s="236"/>
      <c r="P116" s="236"/>
      <c r="Q116" s="236"/>
      <c r="R116" s="236"/>
      <c r="S116" s="236"/>
      <c r="T116" s="236"/>
      <c r="U116" s="236"/>
      <c r="V116" s="236"/>
      <c r="W116" s="236"/>
      <c r="X116" s="236"/>
      <c r="Y116" s="236"/>
      <c r="Z116" s="236"/>
      <c r="AA116" s="236"/>
      <c r="AB116" s="236"/>
      <c r="AC116" s="237"/>
    </row>
    <row r="117" spans="1:48" x14ac:dyDescent="0.45">
      <c r="B117" s="238" t="s">
        <v>35</v>
      </c>
      <c r="C117" s="239"/>
      <c r="D117" s="240"/>
      <c r="E117" s="135"/>
      <c r="F117" s="135"/>
      <c r="G117" s="241" t="s">
        <v>36</v>
      </c>
      <c r="H117" s="239"/>
      <c r="I117" s="239"/>
      <c r="J117" s="239"/>
      <c r="K117" s="239"/>
      <c r="L117" s="239"/>
      <c r="M117" s="239"/>
      <c r="N117" s="239"/>
      <c r="O117" s="239"/>
      <c r="P117" s="239"/>
      <c r="Q117" s="239"/>
      <c r="R117" s="239"/>
      <c r="S117" s="239"/>
      <c r="T117" s="239"/>
      <c r="U117" s="239"/>
      <c r="V117" s="239"/>
      <c r="W117" s="239"/>
      <c r="X117" s="239"/>
      <c r="Y117" s="239"/>
      <c r="Z117" s="239"/>
      <c r="AA117" s="239"/>
      <c r="AB117" s="239"/>
      <c r="AC117" s="242"/>
    </row>
    <row r="118" spans="1:48" x14ac:dyDescent="0.45">
      <c r="B118" s="243"/>
      <c r="C118" s="244"/>
      <c r="D118" s="245"/>
      <c r="E118" s="7"/>
      <c r="F118" s="7"/>
      <c r="G118" s="223"/>
      <c r="H118" s="224"/>
      <c r="I118" s="224"/>
      <c r="J118" s="224"/>
      <c r="K118" s="224"/>
      <c r="L118" s="224"/>
      <c r="M118" s="224"/>
      <c r="N118" s="224"/>
      <c r="O118" s="224"/>
      <c r="P118" s="224"/>
      <c r="Q118" s="224"/>
      <c r="R118" s="224"/>
      <c r="S118" s="224"/>
      <c r="T118" s="224"/>
      <c r="U118" s="224"/>
      <c r="V118" s="224"/>
      <c r="W118" s="224"/>
      <c r="X118" s="224"/>
      <c r="Y118" s="224"/>
      <c r="Z118" s="224"/>
      <c r="AA118" s="224"/>
      <c r="AB118" s="224"/>
      <c r="AC118" s="225"/>
    </row>
    <row r="119" spans="1:48" x14ac:dyDescent="0.45">
      <c r="B119" s="226"/>
      <c r="C119" s="227"/>
      <c r="D119" s="227"/>
      <c r="E119" s="7"/>
      <c r="F119" s="7"/>
      <c r="G119" s="223"/>
      <c r="H119" s="224"/>
      <c r="I119" s="224"/>
      <c r="J119" s="224"/>
      <c r="K119" s="224"/>
      <c r="L119" s="224"/>
      <c r="M119" s="224"/>
      <c r="N119" s="224"/>
      <c r="O119" s="224"/>
      <c r="P119" s="224"/>
      <c r="Q119" s="224"/>
      <c r="R119" s="224"/>
      <c r="S119" s="224"/>
      <c r="T119" s="224"/>
      <c r="U119" s="224"/>
      <c r="V119" s="224"/>
      <c r="W119" s="224"/>
      <c r="X119" s="224"/>
      <c r="Y119" s="224"/>
      <c r="Z119" s="224"/>
      <c r="AA119" s="224"/>
      <c r="AB119" s="224"/>
      <c r="AC119" s="225"/>
    </row>
    <row r="120" spans="1:48" x14ac:dyDescent="0.45">
      <c r="B120" s="226"/>
      <c r="C120" s="227"/>
      <c r="D120" s="227"/>
      <c r="E120" s="7"/>
      <c r="F120" s="7"/>
      <c r="G120" s="223"/>
      <c r="H120" s="224"/>
      <c r="I120" s="224"/>
      <c r="J120" s="224"/>
      <c r="K120" s="224"/>
      <c r="L120" s="224"/>
      <c r="M120" s="224"/>
      <c r="N120" s="224"/>
      <c r="O120" s="224"/>
      <c r="P120" s="224"/>
      <c r="Q120" s="224"/>
      <c r="R120" s="224"/>
      <c r="S120" s="224"/>
      <c r="T120" s="224"/>
      <c r="U120" s="224"/>
      <c r="V120" s="224"/>
      <c r="W120" s="224"/>
      <c r="X120" s="224"/>
      <c r="Y120" s="224"/>
      <c r="Z120" s="224"/>
      <c r="AA120" s="224"/>
      <c r="AB120" s="224"/>
      <c r="AC120" s="225"/>
    </row>
    <row r="121" spans="1:48" x14ac:dyDescent="0.45">
      <c r="B121" s="226"/>
      <c r="C121" s="227"/>
      <c r="D121" s="227"/>
      <c r="E121" s="7"/>
      <c r="F121" s="7"/>
      <c r="G121" s="223"/>
      <c r="H121" s="224"/>
      <c r="I121" s="224"/>
      <c r="J121" s="224"/>
      <c r="K121" s="224"/>
      <c r="L121" s="224"/>
      <c r="M121" s="224"/>
      <c r="N121" s="224"/>
      <c r="O121" s="224"/>
      <c r="P121" s="224"/>
      <c r="Q121" s="224"/>
      <c r="R121" s="224"/>
      <c r="S121" s="224"/>
      <c r="T121" s="224"/>
      <c r="U121" s="224"/>
      <c r="V121" s="224"/>
      <c r="W121" s="224"/>
      <c r="X121" s="224"/>
      <c r="Y121" s="224"/>
      <c r="Z121" s="224"/>
      <c r="AA121" s="224"/>
      <c r="AB121" s="224"/>
      <c r="AC121" s="225"/>
    </row>
    <row r="122" spans="1:48" x14ac:dyDescent="0.45">
      <c r="B122" s="226"/>
      <c r="C122" s="227"/>
      <c r="D122" s="227"/>
      <c r="E122" s="7"/>
      <c r="F122" s="7"/>
      <c r="G122" s="223"/>
      <c r="H122" s="224"/>
      <c r="I122" s="224"/>
      <c r="J122" s="224"/>
      <c r="K122" s="224"/>
      <c r="L122" s="224"/>
      <c r="M122" s="224"/>
      <c r="N122" s="224"/>
      <c r="O122" s="224"/>
      <c r="P122" s="224"/>
      <c r="Q122" s="224"/>
      <c r="R122" s="224"/>
      <c r="S122" s="224"/>
      <c r="T122" s="224"/>
      <c r="U122" s="224"/>
      <c r="V122" s="224"/>
      <c r="W122" s="224"/>
      <c r="X122" s="224"/>
      <c r="Y122" s="224"/>
      <c r="Z122" s="224"/>
      <c r="AA122" s="224"/>
      <c r="AB122" s="224"/>
      <c r="AC122" s="225"/>
    </row>
    <row r="123" spans="1:48" x14ac:dyDescent="0.45">
      <c r="B123" s="226"/>
      <c r="C123" s="227"/>
      <c r="D123" s="227"/>
      <c r="E123" s="7"/>
      <c r="F123" s="7"/>
      <c r="G123" s="223"/>
      <c r="H123" s="224"/>
      <c r="I123" s="224"/>
      <c r="J123" s="224"/>
      <c r="K123" s="224"/>
      <c r="L123" s="224"/>
      <c r="M123" s="224"/>
      <c r="N123" s="224"/>
      <c r="O123" s="224"/>
      <c r="P123" s="224"/>
      <c r="Q123" s="224"/>
      <c r="R123" s="224"/>
      <c r="S123" s="224"/>
      <c r="T123" s="224"/>
      <c r="U123" s="224"/>
      <c r="V123" s="224"/>
      <c r="W123" s="224"/>
      <c r="X123" s="224"/>
      <c r="Y123" s="224"/>
      <c r="Z123" s="224"/>
      <c r="AA123" s="224"/>
      <c r="AB123" s="224"/>
      <c r="AC123" s="225"/>
    </row>
    <row r="124" spans="1:48" x14ac:dyDescent="0.45">
      <c r="B124" s="226"/>
      <c r="C124" s="227"/>
      <c r="D124" s="227"/>
      <c r="E124" s="7"/>
      <c r="F124" s="7"/>
      <c r="G124" s="223"/>
      <c r="H124" s="224"/>
      <c r="I124" s="224"/>
      <c r="J124" s="224"/>
      <c r="K124" s="224"/>
      <c r="L124" s="224"/>
      <c r="M124" s="224"/>
      <c r="N124" s="224"/>
      <c r="O124" s="224"/>
      <c r="P124" s="224"/>
      <c r="Q124" s="224"/>
      <c r="R124" s="224"/>
      <c r="S124" s="224"/>
      <c r="T124" s="224"/>
      <c r="U124" s="224"/>
      <c r="V124" s="224"/>
      <c r="W124" s="224"/>
      <c r="X124" s="224"/>
      <c r="Y124" s="224"/>
      <c r="Z124" s="224"/>
      <c r="AA124" s="224"/>
      <c r="AB124" s="224"/>
      <c r="AC124" s="225"/>
    </row>
    <row r="125" spans="1:48" x14ac:dyDescent="0.45">
      <c r="B125" s="226"/>
      <c r="C125" s="227"/>
      <c r="D125" s="227"/>
      <c r="E125" s="7"/>
      <c r="F125" s="7"/>
      <c r="G125" s="223"/>
      <c r="H125" s="224"/>
      <c r="I125" s="224"/>
      <c r="J125" s="224"/>
      <c r="K125" s="224"/>
      <c r="L125" s="224"/>
      <c r="M125" s="224"/>
      <c r="N125" s="224"/>
      <c r="O125" s="224"/>
      <c r="P125" s="224"/>
      <c r="Q125" s="224"/>
      <c r="R125" s="224"/>
      <c r="S125" s="224"/>
      <c r="T125" s="224"/>
      <c r="U125" s="224"/>
      <c r="V125" s="224"/>
      <c r="W125" s="224"/>
      <c r="X125" s="224"/>
      <c r="Y125" s="224"/>
      <c r="Z125" s="224"/>
      <c r="AA125" s="224"/>
      <c r="AB125" s="224"/>
      <c r="AC125" s="225"/>
    </row>
    <row r="126" spans="1:48" x14ac:dyDescent="0.45">
      <c r="B126" s="226"/>
      <c r="C126" s="227"/>
      <c r="D126" s="227"/>
      <c r="E126" s="7"/>
      <c r="F126" s="7"/>
      <c r="G126" s="223"/>
      <c r="H126" s="224"/>
      <c r="I126" s="224"/>
      <c r="J126" s="224"/>
      <c r="K126" s="224"/>
      <c r="L126" s="224"/>
      <c r="M126" s="224"/>
      <c r="N126" s="224"/>
      <c r="O126" s="224"/>
      <c r="P126" s="224"/>
      <c r="Q126" s="224"/>
      <c r="R126" s="224"/>
      <c r="S126" s="224"/>
      <c r="T126" s="224"/>
      <c r="U126" s="224"/>
      <c r="V126" s="224"/>
      <c r="W126" s="224"/>
      <c r="X126" s="224"/>
      <c r="Y126" s="224"/>
      <c r="Z126" s="224"/>
      <c r="AA126" s="224"/>
      <c r="AB126" s="224"/>
      <c r="AC126" s="225"/>
    </row>
    <row r="127" spans="1:48" x14ac:dyDescent="0.45">
      <c r="B127" s="226"/>
      <c r="C127" s="227"/>
      <c r="D127" s="227"/>
      <c r="E127" s="7"/>
      <c r="F127" s="7"/>
      <c r="G127" s="223"/>
      <c r="H127" s="224"/>
      <c r="I127" s="224"/>
      <c r="J127" s="224"/>
      <c r="K127" s="224"/>
      <c r="L127" s="224"/>
      <c r="M127" s="224"/>
      <c r="N127" s="224"/>
      <c r="O127" s="224"/>
      <c r="P127" s="224"/>
      <c r="Q127" s="224"/>
      <c r="R127" s="224"/>
      <c r="S127" s="224"/>
      <c r="T127" s="224"/>
      <c r="U127" s="224"/>
      <c r="V127" s="224"/>
      <c r="W127" s="224"/>
      <c r="X127" s="224"/>
      <c r="Y127" s="224"/>
      <c r="Z127" s="224"/>
      <c r="AA127" s="224"/>
      <c r="AB127" s="224"/>
      <c r="AC127" s="225"/>
    </row>
    <row r="128" spans="1:48" x14ac:dyDescent="0.45">
      <c r="B128" s="226"/>
      <c r="C128" s="227"/>
      <c r="D128" s="227"/>
      <c r="E128" s="7"/>
      <c r="F128" s="7"/>
      <c r="G128" s="223"/>
      <c r="H128" s="224"/>
      <c r="I128" s="224"/>
      <c r="J128" s="224"/>
      <c r="K128" s="224"/>
      <c r="L128" s="224"/>
      <c r="M128" s="224"/>
      <c r="N128" s="224"/>
      <c r="O128" s="224"/>
      <c r="P128" s="224"/>
      <c r="Q128" s="224"/>
      <c r="R128" s="224"/>
      <c r="S128" s="224"/>
      <c r="T128" s="224"/>
      <c r="U128" s="224"/>
      <c r="V128" s="224"/>
      <c r="W128" s="224"/>
      <c r="X128" s="224"/>
      <c r="Y128" s="224"/>
      <c r="Z128" s="224"/>
      <c r="AA128" s="224"/>
      <c r="AB128" s="224"/>
      <c r="AC128" s="225"/>
    </row>
    <row r="129" spans="2:29" x14ac:dyDescent="0.45">
      <c r="B129" s="226"/>
      <c r="C129" s="227"/>
      <c r="D129" s="227"/>
      <c r="E129" s="7"/>
      <c r="F129" s="7"/>
      <c r="G129" s="223"/>
      <c r="H129" s="224"/>
      <c r="I129" s="224"/>
      <c r="J129" s="224"/>
      <c r="K129" s="224"/>
      <c r="L129" s="224"/>
      <c r="M129" s="224"/>
      <c r="N129" s="224"/>
      <c r="O129" s="224"/>
      <c r="P129" s="224"/>
      <c r="Q129" s="224"/>
      <c r="R129" s="224"/>
      <c r="S129" s="224"/>
      <c r="T129" s="224"/>
      <c r="U129" s="224"/>
      <c r="V129" s="224"/>
      <c r="W129" s="224"/>
      <c r="X129" s="224"/>
      <c r="Y129" s="224"/>
      <c r="Z129" s="224"/>
      <c r="AA129" s="224"/>
      <c r="AB129" s="224"/>
      <c r="AC129" s="225"/>
    </row>
    <row r="130" spans="2:29" x14ac:dyDescent="0.45">
      <c r="B130" s="226"/>
      <c r="C130" s="227"/>
      <c r="D130" s="227"/>
      <c r="E130" s="7"/>
      <c r="F130" s="7"/>
      <c r="G130" s="223"/>
      <c r="H130" s="224"/>
      <c r="I130" s="224"/>
      <c r="J130" s="224"/>
      <c r="K130" s="224"/>
      <c r="L130" s="224"/>
      <c r="M130" s="224"/>
      <c r="N130" s="224"/>
      <c r="O130" s="224"/>
      <c r="P130" s="224"/>
      <c r="Q130" s="224"/>
      <c r="R130" s="224"/>
      <c r="S130" s="224"/>
      <c r="T130" s="224"/>
      <c r="U130" s="224"/>
      <c r="V130" s="224"/>
      <c r="W130" s="224"/>
      <c r="X130" s="224"/>
      <c r="Y130" s="224"/>
      <c r="Z130" s="224"/>
      <c r="AA130" s="224"/>
      <c r="AB130" s="224"/>
      <c r="AC130" s="225"/>
    </row>
    <row r="131" spans="2:29" x14ac:dyDescent="0.45">
      <c r="B131" s="226"/>
      <c r="C131" s="227"/>
      <c r="D131" s="227"/>
      <c r="E131" s="7"/>
      <c r="F131" s="7"/>
      <c r="G131" s="223"/>
      <c r="H131" s="224"/>
      <c r="I131" s="224"/>
      <c r="J131" s="224"/>
      <c r="K131" s="224"/>
      <c r="L131" s="224"/>
      <c r="M131" s="224"/>
      <c r="N131" s="224"/>
      <c r="O131" s="224"/>
      <c r="P131" s="224"/>
      <c r="Q131" s="224"/>
      <c r="R131" s="224"/>
      <c r="S131" s="224"/>
      <c r="T131" s="224"/>
      <c r="U131" s="224"/>
      <c r="V131" s="224"/>
      <c r="W131" s="224"/>
      <c r="X131" s="224"/>
      <c r="Y131" s="224"/>
      <c r="Z131" s="224"/>
      <c r="AA131" s="224"/>
      <c r="AB131" s="224"/>
      <c r="AC131" s="225"/>
    </row>
    <row r="132" spans="2:29" x14ac:dyDescent="0.45">
      <c r="B132" s="226"/>
      <c r="C132" s="227"/>
      <c r="D132" s="227"/>
      <c r="E132" s="7"/>
      <c r="F132" s="7"/>
      <c r="G132" s="223"/>
      <c r="H132" s="224"/>
      <c r="I132" s="224"/>
      <c r="J132" s="224"/>
      <c r="K132" s="224"/>
      <c r="L132" s="224"/>
      <c r="M132" s="224"/>
      <c r="N132" s="224"/>
      <c r="O132" s="224"/>
      <c r="P132" s="224"/>
      <c r="Q132" s="224"/>
      <c r="R132" s="224"/>
      <c r="S132" s="224"/>
      <c r="T132" s="224"/>
      <c r="U132" s="224"/>
      <c r="V132" s="224"/>
      <c r="W132" s="224"/>
      <c r="X132" s="224"/>
      <c r="Y132" s="224"/>
      <c r="Z132" s="224"/>
      <c r="AA132" s="224"/>
      <c r="AB132" s="224"/>
      <c r="AC132" s="225"/>
    </row>
    <row r="133" spans="2:29" x14ac:dyDescent="0.45">
      <c r="B133" s="226"/>
      <c r="C133" s="227"/>
      <c r="D133" s="227"/>
      <c r="E133" s="7"/>
      <c r="F133" s="7"/>
      <c r="G133" s="223"/>
      <c r="H133" s="224"/>
      <c r="I133" s="224"/>
      <c r="J133" s="224"/>
      <c r="K133" s="224"/>
      <c r="L133" s="224"/>
      <c r="M133" s="224"/>
      <c r="N133" s="224"/>
      <c r="O133" s="224"/>
      <c r="P133" s="224"/>
      <c r="Q133" s="224"/>
      <c r="R133" s="224"/>
      <c r="S133" s="224"/>
      <c r="T133" s="224"/>
      <c r="U133" s="224"/>
      <c r="V133" s="224"/>
      <c r="W133" s="224"/>
      <c r="X133" s="224"/>
      <c r="Y133" s="224"/>
      <c r="Z133" s="224"/>
      <c r="AA133" s="224"/>
      <c r="AB133" s="224"/>
      <c r="AC133" s="225"/>
    </row>
    <row r="134" spans="2:29" x14ac:dyDescent="0.45">
      <c r="B134" s="226"/>
      <c r="C134" s="227"/>
      <c r="D134" s="227"/>
      <c r="E134" s="7"/>
      <c r="F134" s="7"/>
      <c r="G134" s="223"/>
      <c r="H134" s="224"/>
      <c r="I134" s="224"/>
      <c r="J134" s="224"/>
      <c r="K134" s="224"/>
      <c r="L134" s="224"/>
      <c r="M134" s="224"/>
      <c r="N134" s="224"/>
      <c r="O134" s="224"/>
      <c r="P134" s="224"/>
      <c r="Q134" s="224"/>
      <c r="R134" s="224"/>
      <c r="S134" s="224"/>
      <c r="T134" s="224"/>
      <c r="U134" s="224"/>
      <c r="V134" s="224"/>
      <c r="W134" s="224"/>
      <c r="X134" s="224"/>
      <c r="Y134" s="224"/>
      <c r="Z134" s="224"/>
      <c r="AA134" s="224"/>
      <c r="AB134" s="224"/>
      <c r="AC134" s="225"/>
    </row>
    <row r="135" spans="2:29" x14ac:dyDescent="0.45">
      <c r="B135" s="226"/>
      <c r="C135" s="227"/>
      <c r="D135" s="227"/>
      <c r="E135" s="7"/>
      <c r="F135" s="7"/>
      <c r="G135" s="223"/>
      <c r="H135" s="224"/>
      <c r="I135" s="224"/>
      <c r="J135" s="224"/>
      <c r="K135" s="224"/>
      <c r="L135" s="224"/>
      <c r="M135" s="224"/>
      <c r="N135" s="224"/>
      <c r="O135" s="224"/>
      <c r="P135" s="224"/>
      <c r="Q135" s="224"/>
      <c r="R135" s="224"/>
      <c r="S135" s="224"/>
      <c r="T135" s="224"/>
      <c r="U135" s="224"/>
      <c r="V135" s="224"/>
      <c r="W135" s="224"/>
      <c r="X135" s="224"/>
      <c r="Y135" s="224"/>
      <c r="Z135" s="224"/>
      <c r="AA135" s="224"/>
      <c r="AB135" s="224"/>
      <c r="AC135" s="225"/>
    </row>
    <row r="136" spans="2:29" ht="14.65" thickBot="1" x14ac:dyDescent="0.5">
      <c r="B136" s="228"/>
      <c r="C136" s="229"/>
      <c r="D136" s="229"/>
      <c r="E136" s="8"/>
      <c r="F136" s="8"/>
      <c r="G136" s="220"/>
      <c r="H136" s="221"/>
      <c r="I136" s="221"/>
      <c r="J136" s="221"/>
      <c r="K136" s="221"/>
      <c r="L136" s="221"/>
      <c r="M136" s="221"/>
      <c r="N136" s="221"/>
      <c r="O136" s="221"/>
      <c r="P136" s="221"/>
      <c r="Q136" s="221"/>
      <c r="R136" s="221"/>
      <c r="S136" s="221"/>
      <c r="T136" s="221"/>
      <c r="U136" s="221"/>
      <c r="V136" s="221"/>
      <c r="W136" s="221"/>
      <c r="X136" s="221"/>
      <c r="Y136" s="221"/>
      <c r="Z136" s="221"/>
      <c r="AA136" s="221"/>
      <c r="AB136" s="221"/>
      <c r="AC136" s="222"/>
    </row>
  </sheetData>
  <sortState xmlns:xlrd2="http://schemas.microsoft.com/office/spreadsheetml/2017/richdata2" ref="C43:AB50">
    <sortCondition ref="C43:C50"/>
  </sortState>
  <mergeCells count="176">
    <mergeCell ref="AC18:AC19"/>
    <mergeCell ref="B20:B40"/>
    <mergeCell ref="AC20:AC37"/>
    <mergeCell ref="AC39:AC40"/>
    <mergeCell ref="AC16:AC17"/>
    <mergeCell ref="AC5:AC14"/>
    <mergeCell ref="AB18:AB19"/>
    <mergeCell ref="A3:A63"/>
    <mergeCell ref="B18:B19"/>
    <mergeCell ref="H18:I18"/>
    <mergeCell ref="J18:K18"/>
    <mergeCell ref="L18:L19"/>
    <mergeCell ref="M18:O18"/>
    <mergeCell ref="P18:R18"/>
    <mergeCell ref="S18:U18"/>
    <mergeCell ref="V18:X18"/>
    <mergeCell ref="Y18:AA18"/>
    <mergeCell ref="AC95:AC96"/>
    <mergeCell ref="Y64:AA64"/>
    <mergeCell ref="AB64:AB65"/>
    <mergeCell ref="AC64:AC65"/>
    <mergeCell ref="B66:B76"/>
    <mergeCell ref="AC66:AC71"/>
    <mergeCell ref="AC75:AC76"/>
    <mergeCell ref="B87:B88"/>
    <mergeCell ref="H87:I87"/>
    <mergeCell ref="J87:K87"/>
    <mergeCell ref="L87:L88"/>
    <mergeCell ref="M87:O87"/>
    <mergeCell ref="P87:R87"/>
    <mergeCell ref="S87:U87"/>
    <mergeCell ref="V87:X87"/>
    <mergeCell ref="Y87:AA87"/>
    <mergeCell ref="AB87:AB88"/>
    <mergeCell ref="AC87:AC88"/>
    <mergeCell ref="B64:B65"/>
    <mergeCell ref="H64:I64"/>
    <mergeCell ref="J64:K64"/>
    <mergeCell ref="H114:K114"/>
    <mergeCell ref="AB41:AB42"/>
    <mergeCell ref="AB3:AB4"/>
    <mergeCell ref="L41:L42"/>
    <mergeCell ref="H41:I41"/>
    <mergeCell ref="J41:K41"/>
    <mergeCell ref="S3:U3"/>
    <mergeCell ref="V3:X3"/>
    <mergeCell ref="Y3:AA3"/>
    <mergeCell ref="M41:O41"/>
    <mergeCell ref="P41:R41"/>
    <mergeCell ref="S41:U41"/>
    <mergeCell ref="V41:X41"/>
    <mergeCell ref="Y41:AA41"/>
    <mergeCell ref="P3:R3"/>
    <mergeCell ref="P77:R77"/>
    <mergeCell ref="S77:U77"/>
    <mergeCell ref="V77:X77"/>
    <mergeCell ref="Y77:AA77"/>
    <mergeCell ref="Y102:AA102"/>
    <mergeCell ref="AB102:AB103"/>
    <mergeCell ref="S102:U102"/>
    <mergeCell ref="AC102:AC103"/>
    <mergeCell ref="B59:B63"/>
    <mergeCell ref="H3:I3"/>
    <mergeCell ref="J3:K3"/>
    <mergeCell ref="L3:L4"/>
    <mergeCell ref="M3:O3"/>
    <mergeCell ref="B43:B52"/>
    <mergeCell ref="B53:B58"/>
    <mergeCell ref="B41:B42"/>
    <mergeCell ref="B3:B4"/>
    <mergeCell ref="B5:B17"/>
    <mergeCell ref="S97:U97"/>
    <mergeCell ref="V97:X97"/>
    <mergeCell ref="Y97:AA97"/>
    <mergeCell ref="AB97:AB98"/>
    <mergeCell ref="H97:I97"/>
    <mergeCell ref="J97:K97"/>
    <mergeCell ref="L97:L98"/>
    <mergeCell ref="L64:L65"/>
    <mergeCell ref="P102:R102"/>
    <mergeCell ref="B89:B96"/>
    <mergeCell ref="S64:U64"/>
    <mergeCell ref="V64:X64"/>
    <mergeCell ref="AC89:AC93"/>
    <mergeCell ref="H116:K116"/>
    <mergeCell ref="C2:G2"/>
    <mergeCell ref="H2:K2"/>
    <mergeCell ref="L2:AC2"/>
    <mergeCell ref="B77:B78"/>
    <mergeCell ref="B97:B98"/>
    <mergeCell ref="B79:B86"/>
    <mergeCell ref="B99:B101"/>
    <mergeCell ref="AC3:AC4"/>
    <mergeCell ref="AC41:AC42"/>
    <mergeCell ref="AC77:AC78"/>
    <mergeCell ref="AC97:AC98"/>
    <mergeCell ref="AC43:AC52"/>
    <mergeCell ref="AC54:AC63"/>
    <mergeCell ref="AC79:AC83"/>
    <mergeCell ref="H77:I77"/>
    <mergeCell ref="J77:K77"/>
    <mergeCell ref="L77:L78"/>
    <mergeCell ref="M77:O77"/>
    <mergeCell ref="AC85:AC86"/>
    <mergeCell ref="P97:R97"/>
    <mergeCell ref="AB77:AB78"/>
    <mergeCell ref="M64:O64"/>
    <mergeCell ref="P64:R64"/>
    <mergeCell ref="G127:AC127"/>
    <mergeCell ref="G128:AC128"/>
    <mergeCell ref="H115:K115"/>
    <mergeCell ref="B104:B113"/>
    <mergeCell ref="G129:AC129"/>
    <mergeCell ref="G130:AC130"/>
    <mergeCell ref="B129:D129"/>
    <mergeCell ref="B130:D130"/>
    <mergeCell ref="B131:D131"/>
    <mergeCell ref="B124:D124"/>
    <mergeCell ref="B125:D125"/>
    <mergeCell ref="B126:D126"/>
    <mergeCell ref="B127:D127"/>
    <mergeCell ref="B128:D128"/>
    <mergeCell ref="B119:D119"/>
    <mergeCell ref="B120:D120"/>
    <mergeCell ref="B121:D121"/>
    <mergeCell ref="B122:D122"/>
    <mergeCell ref="B123:D123"/>
    <mergeCell ref="L116:AC116"/>
    <mergeCell ref="B117:D117"/>
    <mergeCell ref="G117:AC117"/>
    <mergeCell ref="B118:D118"/>
    <mergeCell ref="C116:G116"/>
    <mergeCell ref="G118:AC118"/>
    <mergeCell ref="G119:AC119"/>
    <mergeCell ref="G120:AC120"/>
    <mergeCell ref="G121:AC121"/>
    <mergeCell ref="G122:AC122"/>
    <mergeCell ref="G123:AC123"/>
    <mergeCell ref="G124:AC124"/>
    <mergeCell ref="G125:AC125"/>
    <mergeCell ref="G126:AC126"/>
    <mergeCell ref="G136:AC136"/>
    <mergeCell ref="G131:AC131"/>
    <mergeCell ref="G132:AC132"/>
    <mergeCell ref="G133:AC133"/>
    <mergeCell ref="G134:AC134"/>
    <mergeCell ref="G135:AC135"/>
    <mergeCell ref="B134:D134"/>
    <mergeCell ref="B135:D135"/>
    <mergeCell ref="B136:D136"/>
    <mergeCell ref="B132:D132"/>
    <mergeCell ref="B133:D133"/>
    <mergeCell ref="A77:A113"/>
    <mergeCell ref="B102:B103"/>
    <mergeCell ref="H102:I102"/>
    <mergeCell ref="J102:K102"/>
    <mergeCell ref="L102:L103"/>
    <mergeCell ref="M102:O102"/>
    <mergeCell ref="M97:O97"/>
    <mergeCell ref="AI3:AV3"/>
    <mergeCell ref="D3:G3"/>
    <mergeCell ref="C3:C4"/>
    <mergeCell ref="C18:C19"/>
    <mergeCell ref="D18:G18"/>
    <mergeCell ref="C41:C42"/>
    <mergeCell ref="D41:G41"/>
    <mergeCell ref="C64:C65"/>
    <mergeCell ref="C77:C78"/>
    <mergeCell ref="D77:G77"/>
    <mergeCell ref="C87:C88"/>
    <mergeCell ref="D87:G87"/>
    <mergeCell ref="D97:G97"/>
    <mergeCell ref="C97:C98"/>
    <mergeCell ref="D102:G102"/>
    <mergeCell ref="C102:C103"/>
    <mergeCell ref="V102:X102"/>
  </mergeCells>
  <conditionalFormatting sqref="C12:D12">
    <cfRule type="expression" dxfId="37" priority="66">
      <formula>AND(NOT($AU12=1), NOT(ISBLANK($C12)))</formula>
    </cfRule>
  </conditionalFormatting>
  <conditionalFormatting sqref="C26:D26">
    <cfRule type="expression" dxfId="36" priority="25">
      <formula>AND(NOT($AU26=1), NOT(ISBLANK($C26)))</formula>
    </cfRule>
  </conditionalFormatting>
  <conditionalFormatting sqref="C5:G11">
    <cfRule type="expression" dxfId="35" priority="48">
      <formula>AND(NOT($AU5=1), NOT(ISBLANK($C5)))</formula>
    </cfRule>
  </conditionalFormatting>
  <conditionalFormatting sqref="C66:I72">
    <cfRule type="expression" dxfId="34" priority="1">
      <formula>AND(NOT(COUNTIF($L66:$AA66, "?*")=1), NOT(ISBLANK($C66)))</formula>
    </cfRule>
    <cfRule type="expression" dxfId="33" priority="2">
      <formula>AND(NOT($AU66=1), NOT(ISBLANK($C66)))</formula>
    </cfRule>
  </conditionalFormatting>
  <conditionalFormatting sqref="C20:K40">
    <cfRule type="expression" dxfId="32" priority="21">
      <formula>AND(NOT($AU20=1), NOT(ISBLANK($C20)))</formula>
    </cfRule>
  </conditionalFormatting>
  <conditionalFormatting sqref="C89:AB96">
    <cfRule type="expression" dxfId="31" priority="17">
      <formula>AND(NOT($AU89=1), NOT(ISBLANK($C89)))</formula>
    </cfRule>
  </conditionalFormatting>
  <conditionalFormatting sqref="H5:I17 H43:I63 H66:I76 H79:I86">
    <cfRule type="expression" dxfId="30" priority="165">
      <formula>AND($AN5&lt;999,$AN5 &lt;= VLOOKUP(H5,$C$5:$AN$101,38,0))</formula>
    </cfRule>
  </conditionalFormatting>
  <conditionalFormatting sqref="H20:I40">
    <cfRule type="expression" dxfId="29" priority="20">
      <formula>AND($AN20&lt;999,$AN20 &lt;= VLOOKUP(H20,$C$5:$AN$101,38,0))</formula>
    </cfRule>
  </conditionalFormatting>
  <conditionalFormatting sqref="H89:I96 H99:I101 H104:I113">
    <cfRule type="expression" dxfId="28" priority="18">
      <formula>AND($AN89&lt;999,$AN89 &lt;= VLOOKUP(H89,$C$5:$AN$101,38,0))</formula>
    </cfRule>
  </conditionalFormatting>
  <conditionalFormatting sqref="H10:V11">
    <cfRule type="expression" dxfId="26" priority="63">
      <formula>AND(NOT($AU10=1), NOT(ISBLANK($C10)))</formula>
    </cfRule>
  </conditionalFormatting>
  <conditionalFormatting sqref="H5:AB9 W10:AB11 E12:AB12 C13:AB17 L20:AB40 I79:AB84 I80:S85 C85:AB86 J66:AB72 C73:AB76 C79:H85">
    <cfRule type="expression" dxfId="25" priority="143">
      <formula>AND(NOT($AU5=1), NOT(ISBLANK($C5)))</formula>
    </cfRule>
  </conditionalFormatting>
  <conditionalFormatting sqref="J27">
    <cfRule type="expression" dxfId="24" priority="7">
      <formula>AND($AN27&lt;999,$AN27 &lt;= VLOOKUP(J27,$C$5:$AN$101,38,0))</formula>
    </cfRule>
  </conditionalFormatting>
  <conditionalFormatting sqref="J5:K17 J20:K40 J43:K63 J66:K76 J79:K86">
    <cfRule type="expression" dxfId="23" priority="173">
      <formula>AND($AN5&lt;999,$AN5 &lt; VLOOKUP(J5,$C$5:$AN$101,38,0))</formula>
    </cfRule>
  </conditionalFormatting>
  <conditionalFormatting sqref="J89:K96 J99:K101 J104:K113">
    <cfRule type="expression" dxfId="21" priority="19">
      <formula>AND($AN89&lt;999,$AN89 &lt; VLOOKUP(J89,$C$5:$AN$101,38,0))</formula>
    </cfRule>
  </conditionalFormatting>
  <conditionalFormatting sqref="J66:AB72 C73:AB76">
    <cfRule type="expression" dxfId="20" priority="73">
      <formula>AND(NOT(COUNTIF($L66:$AA66, "?*")=1), NOT(ISBLANK($C66)))</formula>
    </cfRule>
  </conditionalFormatting>
  <conditionalFormatting sqref="M5:M17 P5:P17 S5:S17 V5:V17">
    <cfRule type="expression" dxfId="19" priority="62">
      <formula>COUNTA($E5)=0</formula>
    </cfRule>
  </conditionalFormatting>
  <conditionalFormatting sqref="M66:M76 P66:P76 S66:S76 V66:V76 Y66:Y76">
    <cfRule type="expression" dxfId="18" priority="72">
      <formula>COUNTA($E66)=0</formula>
    </cfRule>
  </conditionalFormatting>
  <conditionalFormatting sqref="M89:M96 P89:P96 S89:S96 V89:V96 Y89:Y96">
    <cfRule type="expression" dxfId="17" priority="9">
      <formula>COUNTA($E89)=0</formula>
    </cfRule>
  </conditionalFormatting>
  <conditionalFormatting sqref="M99:M101 P99:P101 S99:S101 V99:V101 Y99:Y101">
    <cfRule type="expression" dxfId="16" priority="15">
      <formula>COUNTA($E99)=0</formula>
    </cfRule>
  </conditionalFormatting>
  <conditionalFormatting sqref="M104:M113 P104:P113 S104:S113 V104:V113 Y104:Y113">
    <cfRule type="expression" dxfId="15" priority="12">
      <formula>COUNTA($E104)=0</formula>
    </cfRule>
  </conditionalFormatting>
  <conditionalFormatting sqref="M114:N114 P114:Q114 S114:T114 V114:W114 Y114:Z114">
    <cfRule type="colorScale" priority="130">
      <colorScale>
        <cfvo type="num" val="0"/>
        <cfvo type="num" val="3"/>
        <cfvo type="num" val="5"/>
        <color theme="6" tint="-0.249977111117893"/>
        <color rgb="FFFFFF99"/>
        <color theme="5" tint="-0.249977111117893"/>
      </colorScale>
    </cfRule>
  </conditionalFormatting>
  <conditionalFormatting sqref="N5:N17 Q5:Q17 T5:T17">
    <cfRule type="expression" dxfId="14" priority="61">
      <formula>COUNTA($F5)=0</formula>
    </cfRule>
  </conditionalFormatting>
  <conditionalFormatting sqref="N66:N76 Q66:Q76 T66:T76 W66:W76 Z66:Z76">
    <cfRule type="expression" dxfId="13" priority="71">
      <formula>COUNTA($F66)=0</formula>
    </cfRule>
  </conditionalFormatting>
  <conditionalFormatting sqref="N89:N96 Q89:Q96 T89:T96 W89:W96 Z89:Z96">
    <cfRule type="expression" dxfId="12" priority="8">
      <formula>COUNTA($F89)=0</formula>
    </cfRule>
  </conditionalFormatting>
  <conditionalFormatting sqref="N99:N101 Q99:Q101 T99:T101 W99:W101 Z99:Z101">
    <cfRule type="expression" dxfId="11" priority="14">
      <formula>COUNTA($F99)=0</formula>
    </cfRule>
  </conditionalFormatting>
  <conditionalFormatting sqref="N104:N113 Q104:Q113 T104:T113 W104:W113 Z104:Z113">
    <cfRule type="expression" dxfId="10" priority="11">
      <formula>COUNTA($F104)=0</formula>
    </cfRule>
  </conditionalFormatting>
  <conditionalFormatting sqref="W5:W17 Z5:Z17 N20:N40 Q20:Q40 T20:T40 W20:W40 Z20:Z40 N43:N63 Q43:Q63 T43:T63 W43:W63 Z43:Z63 N79:N86 Q79:Q86 T79:T86 W79:W86 Z79:Z86">
    <cfRule type="expression" dxfId="9" priority="134">
      <formula>COUNTA($F5)=0</formula>
    </cfRule>
  </conditionalFormatting>
  <conditionalFormatting sqref="Y5:Y17 M20:M40 P20:P40 S20:S40 V20:V40 Y20:Y40 M43:M63 P43:P63 S43:S63 V43:V63 Y43:Y63 M79:M86 P79:P86 S79:S86 V79:V86 Y79:Y86">
    <cfRule type="expression" dxfId="8" priority="136">
      <formula>COUNTA($E5)=0</formula>
    </cfRule>
  </conditionalFormatting>
  <conditionalFormatting sqref="AC5:AC16">
    <cfRule type="expression" dxfId="7" priority="81">
      <formula>$AC$5&lt;$AC$16</formula>
    </cfRule>
  </conditionalFormatting>
  <conditionalFormatting sqref="AC20:AC40">
    <cfRule type="expression" dxfId="6" priority="68">
      <formula>$AC$20&lt;$AC$39</formula>
    </cfRule>
  </conditionalFormatting>
  <conditionalFormatting sqref="AC43:AC63">
    <cfRule type="expression" dxfId="5" priority="141">
      <formula>$AC$43&lt;$AC$54</formula>
    </cfRule>
  </conditionalFormatting>
  <conditionalFormatting sqref="AC66:AC76">
    <cfRule type="expression" dxfId="4" priority="121">
      <formula>$AC$66&lt;$AC$75</formula>
    </cfRule>
  </conditionalFormatting>
  <conditionalFormatting sqref="AC79:AC86">
    <cfRule type="expression" dxfId="3" priority="140">
      <formula>$AC$79&lt;$AC$85</formula>
    </cfRule>
  </conditionalFormatting>
  <conditionalFormatting sqref="AC89:AC96">
    <cfRule type="expression" dxfId="2" priority="10">
      <formula>$AC$89&lt;$AC$95</formula>
    </cfRule>
  </conditionalFormatting>
  <conditionalFormatting sqref="AC99:AC101">
    <cfRule type="expression" dxfId="1" priority="16">
      <formula>$AC$99&lt;$AC$101</formula>
    </cfRule>
  </conditionalFormatting>
  <conditionalFormatting sqref="AC104:AC113">
    <cfRule type="expression" dxfId="0" priority="13">
      <formula>$AC$104&lt;$AC$113</formula>
    </cfRule>
  </conditionalFormatting>
  <pageMargins left="0.7" right="0.7" top="0.75" bottom="0.75" header="0.3" footer="0.3"/>
  <pageSetup scale="55" orientation="portrait" r:id="rId1"/>
  <colBreaks count="1" manualBreakCount="1">
    <brk id="29" max="1048575" man="1"/>
  </colBreak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38" id="{1A076C30-C5AC-4AD8-AA5A-61B11C37BB10}">
            <xm:f>NOT(OR(IF(LEN(TRIM(C5))=0,0,LEN(TRIM(C5))-LEN(SUBSTITUTE(C5," ",""))+1)=2,IF(ISERROR(MATCH(Legends!$G$5:$G$14,C5,0)=1), FALSE, TRUE)))</xm:f>
            <x14:dxf>
              <font>
                <color rgb="FFFF0000"/>
              </font>
            </x14:dxf>
          </x14:cfRule>
          <xm:sqref>H5:K9 H12:K17 C13:C17 C53:C63 H53:K63 C73:C76 I79:K85 C85:C86 H85:K86</xm:sqref>
        </x14:conditionalFormatting>
        <x14:conditionalFormatting xmlns:xm="http://schemas.microsoft.com/office/excel/2006/main">
          <x14:cfRule type="expression" priority="70" id="{4D59C86C-5519-4835-8AE5-0E0DCC4BDB07}">
            <xm:f>NOT(OR(IF(LEN(TRIM(H66))=0,0,LEN(TRIM(H66))-LEN(SUBSTITUTE(H66," ",""))+1)=2,IF(ISERROR(MATCH(Legends!$G$5:$G$14,H66,0)=1), FALSE, TRUE)))</xm:f>
            <x14:dxf>
              <font>
                <color rgb="FFFF0000"/>
              </font>
            </x14:dxf>
          </x14:cfRule>
          <xm:sqref>J66:K72 H73:K76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5F1A13C0-585C-400A-9B10-2AF190232D22}">
          <x14:formula1>
            <xm:f>Legends!$B$5:$B$9</xm:f>
          </x14:formula1>
          <xm:sqref>W5:AA17 L5:V9 L79:AA86 L20:AA40 L66:AA76 L43:AA63 L12:V17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2:N14"/>
  <sheetViews>
    <sheetView workbookViewId="0">
      <selection activeCell="F22" sqref="F22"/>
    </sheetView>
  </sheetViews>
  <sheetFormatPr defaultRowHeight="14.25" x14ac:dyDescent="0.45"/>
  <cols>
    <col min="3" max="3" width="14.53125" bestFit="1" customWidth="1"/>
    <col min="5" max="5" width="15.1328125" bestFit="1" customWidth="1"/>
    <col min="7" max="7" width="27.53125" bestFit="1" customWidth="1"/>
    <col min="8" max="8" width="8.86328125" bestFit="1" customWidth="1"/>
  </cols>
  <sheetData>
    <row r="2" spans="2:14" x14ac:dyDescent="0.45">
      <c r="J2" s="261" t="s">
        <v>73</v>
      </c>
      <c r="K2" s="261"/>
      <c r="L2" s="261"/>
      <c r="M2" s="261"/>
      <c r="N2" s="261"/>
    </row>
    <row r="3" spans="2:14" x14ac:dyDescent="0.45">
      <c r="J3" s="261" t="s">
        <v>68</v>
      </c>
      <c r="K3" s="261" t="s">
        <v>79</v>
      </c>
      <c r="L3" s="261"/>
      <c r="M3" s="261" t="s">
        <v>80</v>
      </c>
      <c r="N3" s="261"/>
    </row>
    <row r="4" spans="2:14" x14ac:dyDescent="0.45">
      <c r="B4" s="214" t="s">
        <v>14</v>
      </c>
      <c r="C4" s="214"/>
      <c r="E4" s="112" t="s">
        <v>18</v>
      </c>
      <c r="G4" s="113" t="s">
        <v>85</v>
      </c>
      <c r="H4" s="126" t="s">
        <v>86</v>
      </c>
      <c r="J4" s="261"/>
      <c r="K4" s="114" t="s">
        <v>77</v>
      </c>
      <c r="L4" s="114" t="s">
        <v>78</v>
      </c>
      <c r="M4" s="114" t="s">
        <v>77</v>
      </c>
      <c r="N4" s="114" t="s">
        <v>78</v>
      </c>
    </row>
    <row r="5" spans="2:14" x14ac:dyDescent="0.45">
      <c r="B5" s="1" t="s">
        <v>12</v>
      </c>
      <c r="C5" s="1" t="s">
        <v>17</v>
      </c>
      <c r="E5" s="1" t="s">
        <v>94</v>
      </c>
      <c r="G5" s="5" t="s">
        <v>101</v>
      </c>
      <c r="H5" s="5">
        <v>124</v>
      </c>
      <c r="J5" s="1" t="s">
        <v>74</v>
      </c>
      <c r="K5" s="1">
        <v>10</v>
      </c>
      <c r="L5" s="1">
        <v>12</v>
      </c>
      <c r="M5" s="1">
        <v>1</v>
      </c>
      <c r="N5" s="1">
        <v>4</v>
      </c>
    </row>
    <row r="6" spans="2:14" x14ac:dyDescent="0.45">
      <c r="B6" s="1" t="s">
        <v>13</v>
      </c>
      <c r="C6" s="1" t="s">
        <v>16</v>
      </c>
      <c r="E6" s="1" t="s">
        <v>95</v>
      </c>
      <c r="G6" s="5" t="s">
        <v>102</v>
      </c>
      <c r="H6" s="5">
        <v>124</v>
      </c>
      <c r="J6" s="1" t="s">
        <v>75</v>
      </c>
      <c r="K6" s="1">
        <v>2</v>
      </c>
      <c r="L6" s="1">
        <v>4</v>
      </c>
      <c r="M6" s="1">
        <v>5</v>
      </c>
      <c r="N6" s="1">
        <v>8</v>
      </c>
    </row>
    <row r="7" spans="2:14" x14ac:dyDescent="0.45">
      <c r="B7" s="1" t="s">
        <v>11</v>
      </c>
      <c r="C7" s="1" t="s">
        <v>15</v>
      </c>
      <c r="E7" s="1" t="s">
        <v>96</v>
      </c>
      <c r="G7" s="5" t="s">
        <v>99</v>
      </c>
      <c r="H7" s="5">
        <v>124</v>
      </c>
      <c r="J7" s="1" t="s">
        <v>76</v>
      </c>
      <c r="K7" s="1">
        <v>2</v>
      </c>
      <c r="L7" s="1">
        <v>8</v>
      </c>
      <c r="M7" s="1">
        <v>9</v>
      </c>
      <c r="N7" s="1">
        <v>12</v>
      </c>
    </row>
    <row r="8" spans="2:14" x14ac:dyDescent="0.45">
      <c r="B8" s="1" t="s">
        <v>51</v>
      </c>
      <c r="C8" s="1" t="s">
        <v>52</v>
      </c>
      <c r="E8" s="1" t="s">
        <v>97</v>
      </c>
      <c r="G8" s="5" t="s">
        <v>100</v>
      </c>
      <c r="H8" s="5">
        <v>124</v>
      </c>
    </row>
    <row r="9" spans="2:14" x14ac:dyDescent="0.45">
      <c r="B9" s="1" t="s">
        <v>9</v>
      </c>
      <c r="C9" s="1" t="s">
        <v>53</v>
      </c>
      <c r="E9" s="1" t="s">
        <v>98</v>
      </c>
      <c r="G9" s="5"/>
      <c r="H9" s="5"/>
      <c r="J9" s="113"/>
      <c r="K9" s="115" t="s">
        <v>82</v>
      </c>
      <c r="L9" s="115" t="s">
        <v>81</v>
      </c>
      <c r="M9" s="115" t="s">
        <v>83</v>
      </c>
    </row>
    <row r="10" spans="2:14" x14ac:dyDescent="0.45">
      <c r="E10" s="1"/>
      <c r="G10" s="5"/>
      <c r="H10" s="5"/>
      <c r="J10" s="116" t="s">
        <v>84</v>
      </c>
      <c r="K10" s="111">
        <f ca="1">YEAR(TODAY())</f>
        <v>2025</v>
      </c>
      <c r="L10" s="111">
        <f ca="1">MONTH(TODAY())</f>
        <v>4</v>
      </c>
      <c r="M10" s="111">
        <f ca="1">DAY(TODAY())</f>
        <v>15</v>
      </c>
    </row>
    <row r="11" spans="2:14" x14ac:dyDescent="0.45">
      <c r="E11" s="1"/>
      <c r="G11" s="5"/>
      <c r="H11" s="5"/>
    </row>
    <row r="12" spans="2:14" x14ac:dyDescent="0.45">
      <c r="E12" s="1"/>
      <c r="G12" s="5"/>
      <c r="H12" s="5"/>
    </row>
    <row r="13" spans="2:14" x14ac:dyDescent="0.45">
      <c r="E13" s="1"/>
      <c r="G13" s="5"/>
      <c r="H13" s="5"/>
    </row>
    <row r="14" spans="2:14" x14ac:dyDescent="0.45">
      <c r="E14" s="1"/>
      <c r="G14" s="5"/>
      <c r="H14" s="5"/>
    </row>
  </sheetData>
  <mergeCells count="5">
    <mergeCell ref="B4:C4"/>
    <mergeCell ref="K3:L3"/>
    <mergeCell ref="M3:N3"/>
    <mergeCell ref="J2:N2"/>
    <mergeCell ref="J3:J4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c8bb61b2-7ba2-42ea-ab74-b822e1de215a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0F75A270D66B743A4E8BB622D3A5220" ma:contentTypeVersion="6" ma:contentTypeDescription="Create a new document." ma:contentTypeScope="" ma:versionID="8f207c0ea1e56a81dcbf30ddf3c69abf">
  <xsd:schema xmlns:xsd="http://www.w3.org/2001/XMLSchema" xmlns:xs="http://www.w3.org/2001/XMLSchema" xmlns:p="http://schemas.microsoft.com/office/2006/metadata/properties" xmlns:ns3="c8bb61b2-7ba2-42ea-ab74-b822e1de215a" targetNamespace="http://schemas.microsoft.com/office/2006/metadata/properties" ma:root="true" ma:fieldsID="8c68f6cf8568dc8ce44e3e6f8ae8c33b" ns3:_="">
    <xsd:import namespace="c8bb61b2-7ba2-42ea-ab74-b822e1de215a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_activity" minOccurs="0"/>
                <xsd:element ref="ns3:MediaServiceObjectDetectorVersions" minOccurs="0"/>
                <xsd:element ref="ns3:MediaServiceDateTaken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8bb61b2-7ba2-42ea-ab74-b822e1de215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_activity" ma:index="10" nillable="true" ma:displayName="_activity" ma:hidden="true" ma:internalName="_activity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4348296D-BAA2-4770-82D6-4FC9BBFDC0C2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81FF9148-C550-4546-917C-7C9EA1933652}">
  <ds:schemaRefs>
    <ds:schemaRef ds:uri="http://schemas.microsoft.com/office/2006/metadata/properties"/>
    <ds:schemaRef ds:uri="c8bb61b2-7ba2-42ea-ab74-b822e1de215a"/>
    <ds:schemaRef ds:uri="http://purl.org/dc/dcmitype/"/>
    <ds:schemaRef ds:uri="http://schemas.microsoft.com/office/infopath/2007/PartnerControls"/>
    <ds:schemaRef ds:uri="http://schemas.microsoft.com/office/2006/documentManagement/types"/>
    <ds:schemaRef ds:uri="http://purl.org/dc/terms/"/>
    <ds:schemaRef ds:uri="http://purl.org/dc/elements/1.1/"/>
    <ds:schemaRef ds:uri="http://schemas.openxmlformats.org/package/2006/metadata/core-propertie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EE903C3A-BF11-4A28-B730-E803FFE9116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8bb61b2-7ba2-42ea-ab74-b822e1de215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</vt:i4>
      </vt:variant>
    </vt:vector>
  </HeadingPairs>
  <TitlesOfParts>
    <vt:vector size="6" baseType="lpstr">
      <vt:lpstr>Student View</vt:lpstr>
      <vt:lpstr>Student Profile</vt:lpstr>
      <vt:lpstr>Advisor View</vt:lpstr>
      <vt:lpstr>Legends</vt:lpstr>
      <vt:lpstr>'Advisor View'!Print_Area</vt:lpstr>
      <vt:lpstr>'Student View'!Print_Area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2025-04-15T23:09:30Z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0x010100C0F75A270D66B743A4E8BB622D3A5220</vt:lpwstr>
  </property>
</Properties>
</file>